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2" r:id="rId1"/>
  </sheets>
  <externalReferences>
    <externalReference r:id="rId2"/>
  </externalReferences>
  <definedNames>
    <definedName name="_xlnm.Print_Titles" localSheetId="0">'2022'!$3:$5</definedName>
    <definedName name="_xlnm.Print_Area" localSheetId="0">'2022'!$A$1:$AB$107</definedName>
  </definedNames>
  <calcPr calcId="152511"/>
</workbook>
</file>

<file path=xl/calcChain.xml><?xml version="1.0" encoding="utf-8"?>
<calcChain xmlns="http://schemas.openxmlformats.org/spreadsheetml/2006/main">
  <c r="Q47" i="22" l="1"/>
  <c r="P80" i="22"/>
  <c r="P51" i="22"/>
  <c r="P50" i="22"/>
  <c r="P47" i="22"/>
  <c r="L54" i="22"/>
  <c r="L19" i="22"/>
  <c r="S47" i="22" l="1"/>
  <c r="R47" i="22"/>
  <c r="P82" i="22"/>
  <c r="P28" i="22"/>
  <c r="P27" i="22"/>
  <c r="M53" i="22"/>
  <c r="T53" i="22"/>
  <c r="T9" i="22"/>
  <c r="K89" i="22" l="1"/>
  <c r="K88" i="22" s="1"/>
  <c r="K78" i="22"/>
  <c r="K69" i="22"/>
  <c r="K84" i="22" s="1"/>
  <c r="K64" i="22"/>
  <c r="K100" i="22" s="1"/>
  <c r="K62" i="22"/>
  <c r="K57" i="22"/>
  <c r="K53" i="22" s="1"/>
  <c r="K65" i="22" s="1"/>
  <c r="K33" i="22"/>
  <c r="K19" i="22"/>
  <c r="K14" i="22"/>
  <c r="K9" i="22"/>
  <c r="K63" i="22" l="1"/>
  <c r="K60" i="22" s="1"/>
  <c r="K101" i="22"/>
  <c r="K99" i="22" s="1"/>
  <c r="K46" i="22"/>
  <c r="K93" i="22"/>
  <c r="K98" i="22"/>
  <c r="W15" i="22"/>
  <c r="K96" i="22" l="1"/>
  <c r="K103" i="22" s="1"/>
  <c r="K67" i="22"/>
  <c r="S91" i="22"/>
  <c r="N59" i="22" l="1"/>
  <c r="N48" i="22"/>
  <c r="E83" i="22" l="1"/>
  <c r="P83" i="22" s="1"/>
  <c r="E81" i="22"/>
  <c r="P81" i="22" s="1"/>
  <c r="E79" i="22"/>
  <c r="E77" i="22"/>
  <c r="E76" i="22"/>
  <c r="P76" i="22" s="1"/>
  <c r="E75" i="22"/>
  <c r="P75" i="22" s="1"/>
  <c r="E74" i="22"/>
  <c r="E73" i="22"/>
  <c r="P73" i="22" s="1"/>
  <c r="E71" i="22"/>
  <c r="E70" i="22"/>
  <c r="P70" i="22" s="1"/>
  <c r="E64" i="22"/>
  <c r="Q59" i="22"/>
  <c r="E59" i="22"/>
  <c r="P59" i="22" s="1"/>
  <c r="E58" i="22"/>
  <c r="P58" i="22" s="1"/>
  <c r="E57" i="22"/>
  <c r="P57" i="22" s="1"/>
  <c r="E56" i="22"/>
  <c r="P56" i="22" s="1"/>
  <c r="E55" i="22"/>
  <c r="P55" i="22" s="1"/>
  <c r="E54" i="22"/>
  <c r="P54" i="22" s="1"/>
  <c r="E52" i="22"/>
  <c r="P52" i="22" s="1"/>
  <c r="E49" i="22"/>
  <c r="E48" i="22"/>
  <c r="P48" i="22" s="1"/>
  <c r="Q48" i="22" s="1"/>
  <c r="E45" i="22"/>
  <c r="P45" i="22" s="1"/>
  <c r="E44" i="22"/>
  <c r="P44" i="22" s="1"/>
  <c r="E43" i="22"/>
  <c r="P43" i="22" s="1"/>
  <c r="E42" i="22"/>
  <c r="P42" i="22" s="1"/>
  <c r="E41" i="22"/>
  <c r="P41" i="22" s="1"/>
  <c r="E40" i="22"/>
  <c r="P40" i="22" s="1"/>
  <c r="E39" i="22"/>
  <c r="P39" i="22" s="1"/>
  <c r="E38" i="22"/>
  <c r="P38" i="22" s="1"/>
  <c r="E37" i="22"/>
  <c r="P37" i="22" s="1"/>
  <c r="E36" i="22"/>
  <c r="P36" i="22" s="1"/>
  <c r="E35" i="22"/>
  <c r="P35" i="22" s="1"/>
  <c r="E34" i="22"/>
  <c r="P34" i="22" s="1"/>
  <c r="E32" i="22"/>
  <c r="P32" i="22" s="1"/>
  <c r="E31" i="22"/>
  <c r="P31" i="22" s="1"/>
  <c r="E30" i="22"/>
  <c r="P30" i="22" s="1"/>
  <c r="E29" i="22"/>
  <c r="P29" i="22" s="1"/>
  <c r="E26" i="22"/>
  <c r="P26" i="22" s="1"/>
  <c r="E25" i="22"/>
  <c r="P25" i="22" s="1"/>
  <c r="E24" i="22"/>
  <c r="P24" i="22" s="1"/>
  <c r="E23" i="22"/>
  <c r="P23" i="22" s="1"/>
  <c r="E22" i="22"/>
  <c r="P22" i="22" s="1"/>
  <c r="E21" i="22"/>
  <c r="P21" i="22" s="1"/>
  <c r="E20" i="22"/>
  <c r="P20" i="22" s="1"/>
  <c r="E18" i="22"/>
  <c r="P18" i="22" s="1"/>
  <c r="E17" i="22"/>
  <c r="P17" i="22" s="1"/>
  <c r="E16" i="22"/>
  <c r="P16" i="22" s="1"/>
  <c r="E15" i="22"/>
  <c r="P15" i="22" s="1"/>
  <c r="E13" i="22"/>
  <c r="P13" i="22" s="1"/>
  <c r="E12" i="22"/>
  <c r="P12" i="22" s="1"/>
  <c r="E11" i="22"/>
  <c r="P11" i="22" s="1"/>
  <c r="E10" i="22"/>
  <c r="P10" i="22" s="1"/>
  <c r="E8" i="22"/>
  <c r="P8" i="22" s="1"/>
  <c r="E7" i="22"/>
  <c r="P7" i="22" s="1"/>
  <c r="T64" i="22"/>
  <c r="U59" i="22"/>
  <c r="U48" i="22"/>
  <c r="A48" i="22"/>
  <c r="A49" i="22" s="1"/>
  <c r="A50" i="22" s="1"/>
  <c r="A51" i="22" s="1"/>
  <c r="A52" i="22" s="1"/>
  <c r="A53" i="22" s="1"/>
  <c r="P79" i="22" l="1"/>
  <c r="E78" i="22"/>
  <c r="E62" i="22"/>
  <c r="P49" i="22"/>
  <c r="J89" i="22"/>
  <c r="J88" i="22" s="1"/>
  <c r="J78" i="22"/>
  <c r="J69" i="22"/>
  <c r="J84" i="22" s="1"/>
  <c r="J64" i="22"/>
  <c r="J62" i="22"/>
  <c r="J55" i="22"/>
  <c r="J54" i="22"/>
  <c r="J53" i="22" s="1"/>
  <c r="J65" i="22" s="1"/>
  <c r="J33" i="22"/>
  <c r="J19" i="22"/>
  <c r="J14" i="22"/>
  <c r="J9" i="22"/>
  <c r="J100" i="22" l="1"/>
  <c r="J46" i="22"/>
  <c r="J101" i="22"/>
  <c r="J99" i="22" s="1"/>
  <c r="J63" i="22"/>
  <c r="J60" i="22" s="1"/>
  <c r="J93" i="22"/>
  <c r="J96" i="22" l="1"/>
  <c r="J98" i="22"/>
  <c r="J67" i="22"/>
  <c r="J103" i="22" l="1"/>
  <c r="J114" i="22" s="1"/>
  <c r="I89" i="22"/>
  <c r="I88" i="22"/>
  <c r="I78" i="22"/>
  <c r="I69" i="22"/>
  <c r="I84" i="22" s="1"/>
  <c r="I64" i="22"/>
  <c r="I100" i="22" s="1"/>
  <c r="I62" i="22"/>
  <c r="I53" i="22"/>
  <c r="I65" i="22" s="1"/>
  <c r="I33" i="22"/>
  <c r="I19" i="22"/>
  <c r="I14" i="22"/>
  <c r="I9" i="22"/>
  <c r="I101" i="22" l="1"/>
  <c r="I99" i="22" s="1"/>
  <c r="I63" i="22"/>
  <c r="I60" i="22" s="1"/>
  <c r="I98" i="22" s="1"/>
  <c r="I46" i="22"/>
  <c r="I96" i="22" s="1"/>
  <c r="I93" i="22"/>
  <c r="W38" i="22"/>
  <c r="W29" i="22"/>
  <c r="I103" i="22" l="1"/>
  <c r="I114" i="22" s="1"/>
  <c r="I67" i="22"/>
  <c r="Q58" i="22" l="1"/>
  <c r="N58" i="22" l="1"/>
  <c r="U58" i="22" l="1"/>
  <c r="H89" i="22" l="1"/>
  <c r="H88" i="22" s="1"/>
  <c r="H78" i="22"/>
  <c r="H69" i="22"/>
  <c r="H84" i="22" s="1"/>
  <c r="H64" i="22"/>
  <c r="H100" i="22" s="1"/>
  <c r="H62" i="22"/>
  <c r="H53" i="22"/>
  <c r="H65" i="22" s="1"/>
  <c r="H63" i="22" s="1"/>
  <c r="H60" i="22" s="1"/>
  <c r="H33" i="22"/>
  <c r="H19" i="22"/>
  <c r="H14" i="22"/>
  <c r="H9" i="22"/>
  <c r="H93" i="22" l="1"/>
  <c r="H46" i="22"/>
  <c r="H96" i="22" s="1"/>
  <c r="H101" i="22"/>
  <c r="H99" i="22" s="1"/>
  <c r="H98" i="22"/>
  <c r="F74" i="22"/>
  <c r="U74" i="22" s="1"/>
  <c r="F72" i="22"/>
  <c r="U18" i="22"/>
  <c r="L9" i="22"/>
  <c r="L33" i="22"/>
  <c r="W33" i="22" s="1"/>
  <c r="L14" i="22"/>
  <c r="L53" i="22"/>
  <c r="U72" i="22" l="1"/>
  <c r="N72" i="22"/>
  <c r="H67" i="22"/>
  <c r="Q72" i="22"/>
  <c r="Q74" i="22"/>
  <c r="Q18" i="22"/>
  <c r="L46" i="22"/>
  <c r="H103" i="22"/>
  <c r="H114" i="22" s="1"/>
  <c r="N18" i="22"/>
  <c r="N74" i="22"/>
  <c r="L89" i="22" l="1"/>
  <c r="L69" i="22"/>
  <c r="L84" i="22" s="1"/>
  <c r="L78" i="22"/>
  <c r="L62" i="22"/>
  <c r="L64" i="22"/>
  <c r="L65" i="22"/>
  <c r="L101" i="22" s="1"/>
  <c r="F90" i="22"/>
  <c r="F86" i="22"/>
  <c r="S86" i="22" s="1"/>
  <c r="F83" i="22"/>
  <c r="S83" i="22" s="1"/>
  <c r="F82" i="22"/>
  <c r="S82" i="22" s="1"/>
  <c r="F81" i="22"/>
  <c r="F80" i="22"/>
  <c r="F79" i="22"/>
  <c r="F77" i="22"/>
  <c r="F76" i="22"/>
  <c r="S76" i="22" s="1"/>
  <c r="F75" i="22"/>
  <c r="S75" i="22" s="1"/>
  <c r="F73" i="22"/>
  <c r="S73" i="22" s="1"/>
  <c r="F71" i="22"/>
  <c r="F70" i="22"/>
  <c r="S70" i="22" s="1"/>
  <c r="S57" i="22"/>
  <c r="S56" i="22"/>
  <c r="S51" i="22"/>
  <c r="S50" i="22"/>
  <c r="S49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2" i="22"/>
  <c r="S31" i="22"/>
  <c r="S30" i="22"/>
  <c r="S29" i="22"/>
  <c r="S28" i="22"/>
  <c r="S26" i="22"/>
  <c r="S24" i="22"/>
  <c r="S23" i="22"/>
  <c r="S22" i="22"/>
  <c r="S21" i="22"/>
  <c r="S20" i="22"/>
  <c r="S17" i="22"/>
  <c r="S16" i="22"/>
  <c r="S12" i="22"/>
  <c r="S11" i="22"/>
  <c r="S8" i="22"/>
  <c r="S7" i="22"/>
  <c r="R80" i="22" l="1"/>
  <c r="S80" i="22"/>
  <c r="O80" i="22"/>
  <c r="S79" i="22"/>
  <c r="O79" i="22"/>
  <c r="V79" i="22"/>
  <c r="S27" i="22"/>
  <c r="O27" i="22"/>
  <c r="S15" i="22"/>
  <c r="X15" i="22"/>
  <c r="Y15" i="22" s="1"/>
  <c r="V54" i="22"/>
  <c r="S54" i="22"/>
  <c r="V81" i="22"/>
  <c r="S81" i="22"/>
  <c r="V55" i="22"/>
  <c r="S55" i="22"/>
  <c r="V13" i="22"/>
  <c r="S13" i="22"/>
  <c r="O10" i="22"/>
  <c r="S10" i="22"/>
  <c r="V25" i="22"/>
  <c r="S25" i="22"/>
  <c r="V11" i="22"/>
  <c r="O11" i="22"/>
  <c r="V15" i="22"/>
  <c r="O15" i="22"/>
  <c r="V10" i="22"/>
  <c r="R10" i="22"/>
  <c r="V16" i="22"/>
  <c r="O16" i="22"/>
  <c r="V32" i="22"/>
  <c r="U32" i="22"/>
  <c r="L96" i="22"/>
  <c r="L100" i="22"/>
  <c r="L99" i="22" s="1"/>
  <c r="L88" i="22"/>
  <c r="L63" i="22"/>
  <c r="L93" i="22" l="1"/>
  <c r="L60" i="22"/>
  <c r="L98" i="22" s="1"/>
  <c r="L103" i="22" l="1"/>
  <c r="L114" i="22" s="1"/>
  <c r="L67" i="22"/>
  <c r="V76" i="22"/>
  <c r="O81" i="22" l="1"/>
  <c r="R49" i="22"/>
  <c r="O49" i="22"/>
  <c r="G62" i="22"/>
  <c r="S62" i="22" s="1"/>
  <c r="P64" i="22"/>
  <c r="M64" i="22"/>
  <c r="G64" i="22"/>
  <c r="S64" i="22" s="1"/>
  <c r="D64" i="22"/>
  <c r="V51" i="22"/>
  <c r="P62" i="22" l="1"/>
  <c r="R62" i="22" s="1"/>
  <c r="P86" i="22"/>
  <c r="P69" i="22"/>
  <c r="P89" i="22"/>
  <c r="P88" i="22" s="1"/>
  <c r="P78" i="22" l="1"/>
  <c r="Q10" i="22"/>
  <c r="P84" i="22"/>
  <c r="P100" i="22"/>
  <c r="N10" i="22"/>
  <c r="P93" i="22" l="1"/>
  <c r="D33" i="22" l="1"/>
  <c r="U10" i="22"/>
  <c r="M9" i="22"/>
  <c r="G9" i="22"/>
  <c r="D9" i="22"/>
  <c r="E9" i="22" l="1"/>
  <c r="P9" i="22" s="1"/>
  <c r="E33" i="22"/>
  <c r="P33" i="22" s="1"/>
  <c r="N32" i="22"/>
  <c r="O32" i="22"/>
  <c r="R32" i="22"/>
  <c r="Q32" i="22"/>
  <c r="S9" i="22" l="1"/>
  <c r="T89" i="22"/>
  <c r="T88" i="22" s="1"/>
  <c r="T78" i="22"/>
  <c r="T69" i="22"/>
  <c r="T84" i="22" s="1"/>
  <c r="T62" i="22"/>
  <c r="T65" i="22"/>
  <c r="T33" i="22"/>
  <c r="T19" i="22"/>
  <c r="T14" i="22"/>
  <c r="T46" i="22" l="1"/>
  <c r="T96" i="22" s="1"/>
  <c r="T93" i="22"/>
  <c r="T100" i="22"/>
  <c r="T101" i="22"/>
  <c r="T63" i="22"/>
  <c r="T60" i="22" s="1"/>
  <c r="T99" i="22" l="1"/>
  <c r="T98" i="22"/>
  <c r="T103" i="22" s="1"/>
  <c r="T67" i="22"/>
  <c r="M19" i="22"/>
  <c r="G19" i="22"/>
  <c r="M89" i="22"/>
  <c r="M88" i="22" s="1"/>
  <c r="G89" i="22"/>
  <c r="M62" i="22"/>
  <c r="O62" i="22" s="1"/>
  <c r="G53" i="22"/>
  <c r="E53" i="22"/>
  <c r="E65" i="22" l="1"/>
  <c r="E63" i="22" s="1"/>
  <c r="E60" i="22" s="1"/>
  <c r="P53" i="22"/>
  <c r="P65" i="22" s="1"/>
  <c r="P101" i="22" s="1"/>
  <c r="P99" i="22" s="1"/>
  <c r="V53" i="22"/>
  <c r="S53" i="22"/>
  <c r="G88" i="22"/>
  <c r="F88" i="22" s="1"/>
  <c r="F89" i="22"/>
  <c r="M65" i="22"/>
  <c r="U52" i="22"/>
  <c r="G65" i="22"/>
  <c r="S65" i="22" s="1"/>
  <c r="G100" i="22"/>
  <c r="F100" i="22" s="1"/>
  <c r="N52" i="22"/>
  <c r="Q52" i="22"/>
  <c r="M100" i="22"/>
  <c r="P63" i="22" l="1"/>
  <c r="P60" i="22" s="1"/>
  <c r="P98" i="22" s="1"/>
  <c r="D53" i="22"/>
  <c r="D65" i="22" s="1"/>
  <c r="D19" i="22" l="1"/>
  <c r="E19" i="22" l="1"/>
  <c r="M63" i="22"/>
  <c r="M60" i="22" s="1"/>
  <c r="M98" i="22" s="1"/>
  <c r="M101" i="22"/>
  <c r="M99" i="22" s="1"/>
  <c r="G63" i="22"/>
  <c r="G101" i="22"/>
  <c r="S19" i="22" l="1"/>
  <c r="P19" i="22"/>
  <c r="G99" i="22"/>
  <c r="F99" i="22" s="1"/>
  <c r="F101" i="22"/>
  <c r="G60" i="22"/>
  <c r="S63" i="22"/>
  <c r="X93" i="22"/>
  <c r="W19" i="22"/>
  <c r="G98" i="22" l="1"/>
  <c r="F98" i="22" s="1"/>
  <c r="S60" i="22"/>
  <c r="D89" i="22"/>
  <c r="M78" i="22"/>
  <c r="G78" i="22"/>
  <c r="F78" i="22" s="1"/>
  <c r="D78" i="22"/>
  <c r="A76" i="22"/>
  <c r="A77" i="22" s="1"/>
  <c r="A78" i="22" s="1"/>
  <c r="V71" i="22"/>
  <c r="M69" i="22"/>
  <c r="M84" i="22" s="1"/>
  <c r="G69" i="22"/>
  <c r="F69" i="22" s="1"/>
  <c r="D69" i="22"/>
  <c r="D84" i="22" s="1"/>
  <c r="P116" i="22" s="1"/>
  <c r="D62" i="22"/>
  <c r="X53" i="22"/>
  <c r="A39" i="22"/>
  <c r="A40" i="22" s="1"/>
  <c r="A41" i="22" s="1"/>
  <c r="A42" i="22" s="1"/>
  <c r="A43" i="22" s="1"/>
  <c r="A44" i="22" s="1"/>
  <c r="A45" i="22" s="1"/>
  <c r="M33" i="22"/>
  <c r="G33" i="22"/>
  <c r="A26" i="22"/>
  <c r="A27" i="22" s="1"/>
  <c r="A28" i="22" s="1"/>
  <c r="A29" i="22" s="1"/>
  <c r="A30" i="22" s="1"/>
  <c r="A31" i="22" s="1"/>
  <c r="A32" i="22" s="1"/>
  <c r="A33" i="22" s="1"/>
  <c r="M14" i="22"/>
  <c r="G14" i="22"/>
  <c r="D14" i="22"/>
  <c r="Y8" i="22"/>
  <c r="Z8" i="22" s="1"/>
  <c r="A8" i="22"/>
  <c r="Z7" i="22"/>
  <c r="Y7" i="22"/>
  <c r="C5" i="22"/>
  <c r="D5" i="22" s="1"/>
  <c r="F5" i="22" s="1"/>
  <c r="G5" i="22" s="1"/>
  <c r="M46" i="22" l="1"/>
  <c r="D88" i="22"/>
  <c r="E89" i="22"/>
  <c r="E14" i="22"/>
  <c r="S14" i="22"/>
  <c r="H5" i="22"/>
  <c r="S33" i="22"/>
  <c r="O28" i="22"/>
  <c r="V34" i="22"/>
  <c r="W34" i="22" s="1"/>
  <c r="O39" i="22"/>
  <c r="V8" i="22"/>
  <c r="O24" i="22"/>
  <c r="U40" i="22"/>
  <c r="U54" i="22"/>
  <c r="N73" i="22"/>
  <c r="G46" i="22"/>
  <c r="N38" i="22"/>
  <c r="O50" i="22"/>
  <c r="U70" i="22"/>
  <c r="N81" i="22"/>
  <c r="V22" i="22"/>
  <c r="W22" i="22" s="1"/>
  <c r="O13" i="22"/>
  <c r="O36" i="22"/>
  <c r="U41" i="22"/>
  <c r="O47" i="22"/>
  <c r="N55" i="22"/>
  <c r="N51" i="22"/>
  <c r="N82" i="22"/>
  <c r="D46" i="22"/>
  <c r="P114" i="22" s="1"/>
  <c r="O25" i="22"/>
  <c r="V31" i="22"/>
  <c r="N49" i="22"/>
  <c r="U56" i="22"/>
  <c r="N76" i="22"/>
  <c r="D100" i="22"/>
  <c r="Q73" i="22"/>
  <c r="M93" i="22"/>
  <c r="Q7" i="22"/>
  <c r="N7" i="22"/>
  <c r="R86" i="22"/>
  <c r="N9" i="22"/>
  <c r="R79" i="22"/>
  <c r="Q38" i="22"/>
  <c r="N71" i="22"/>
  <c r="Q71" i="22"/>
  <c r="U71" i="22"/>
  <c r="Q81" i="22"/>
  <c r="Q83" i="22"/>
  <c r="O22" i="22"/>
  <c r="V73" i="22"/>
  <c r="R23" i="22"/>
  <c r="R44" i="22"/>
  <c r="V47" i="22"/>
  <c r="R7" i="22"/>
  <c r="U22" i="22"/>
  <c r="Y24" i="22"/>
  <c r="R31" i="22"/>
  <c r="Q13" i="22"/>
  <c r="Q22" i="22"/>
  <c r="O23" i="22"/>
  <c r="V70" i="22"/>
  <c r="O73" i="22"/>
  <c r="N22" i="22"/>
  <c r="Q25" i="22"/>
  <c r="Q28" i="22"/>
  <c r="U73" i="22"/>
  <c r="Q49" i="22"/>
  <c r="N54" i="22"/>
  <c r="V38" i="22"/>
  <c r="R41" i="22"/>
  <c r="U50" i="22"/>
  <c r="O54" i="22"/>
  <c r="N13" i="22"/>
  <c r="Q29" i="22"/>
  <c r="Q54" i="22"/>
  <c r="U13" i="22"/>
  <c r="V24" i="22"/>
  <c r="R27" i="22"/>
  <c r="R36" i="22"/>
  <c r="O38" i="22"/>
  <c r="N26" i="22"/>
  <c r="V26" i="22"/>
  <c r="N35" i="22"/>
  <c r="Q37" i="22"/>
  <c r="N40" i="22"/>
  <c r="V50" i="22"/>
  <c r="Q12" i="22"/>
  <c r="N34" i="22"/>
  <c r="N24" i="22"/>
  <c r="O34" i="22"/>
  <c r="N42" i="22"/>
  <c r="R54" i="22"/>
  <c r="Q55" i="22"/>
  <c r="Q26" i="22"/>
  <c r="R29" i="22"/>
  <c r="R34" i="22"/>
  <c r="Q35" i="22"/>
  <c r="V39" i="22"/>
  <c r="W39" i="22" s="1"/>
  <c r="R42" i="22"/>
  <c r="Q50" i="22"/>
  <c r="R55" i="22"/>
  <c r="E69" i="22"/>
  <c r="E84" i="22" s="1"/>
  <c r="N79" i="22"/>
  <c r="R81" i="22"/>
  <c r="Q82" i="22"/>
  <c r="N50" i="22"/>
  <c r="U39" i="22"/>
  <c r="R45" i="22"/>
  <c r="R20" i="22"/>
  <c r="X19" i="22"/>
  <c r="R24" i="22"/>
  <c r="R26" i="22"/>
  <c r="Q31" i="22"/>
  <c r="R35" i="22"/>
  <c r="Q40" i="22"/>
  <c r="R50" i="22"/>
  <c r="U81" i="22"/>
  <c r="U35" i="22"/>
  <c r="U26" i="22"/>
  <c r="V35" i="22"/>
  <c r="W35" i="22" s="1"/>
  <c r="N39" i="22"/>
  <c r="Q17" i="22"/>
  <c r="R21" i="22"/>
  <c r="O26" i="22"/>
  <c r="O35" i="22"/>
  <c r="U79" i="22"/>
  <c r="N83" i="22"/>
  <c r="Q11" i="22"/>
  <c r="R11" i="22"/>
  <c r="AA46" i="22"/>
  <c r="N14" i="22"/>
  <c r="V14" i="22"/>
  <c r="U14" i="22"/>
  <c r="O14" i="22"/>
  <c r="Q39" i="22"/>
  <c r="R39" i="22"/>
  <c r="R16" i="22"/>
  <c r="Q16" i="22"/>
  <c r="V78" i="22"/>
  <c r="O78" i="22"/>
  <c r="N78" i="22"/>
  <c r="U78" i="22"/>
  <c r="R43" i="22"/>
  <c r="N19" i="22"/>
  <c r="U19" i="22"/>
  <c r="O19" i="22"/>
  <c r="V19" i="22"/>
  <c r="Q15" i="22"/>
  <c r="R15" i="22"/>
  <c r="X46" i="22"/>
  <c r="Y44" i="22"/>
  <c r="V30" i="22"/>
  <c r="U12" i="22"/>
  <c r="U17" i="22"/>
  <c r="U7" i="22"/>
  <c r="O12" i="22"/>
  <c r="V12" i="22"/>
  <c r="V29" i="22"/>
  <c r="Q36" i="22"/>
  <c r="V7" i="22"/>
  <c r="N8" i="22"/>
  <c r="U8" i="22"/>
  <c r="N11" i="22"/>
  <c r="U11" i="22"/>
  <c r="R13" i="22"/>
  <c r="U15" i="22"/>
  <c r="N16" i="22"/>
  <c r="U21" i="22"/>
  <c r="Y22" i="22"/>
  <c r="O29" i="22"/>
  <c r="Q30" i="22"/>
  <c r="N31" i="22"/>
  <c r="O37" i="22"/>
  <c r="N41" i="22"/>
  <c r="Q44" i="22"/>
  <c r="U44" i="22"/>
  <c r="N45" i="22"/>
  <c r="Q56" i="22"/>
  <c r="R56" i="22"/>
  <c r="N56" i="22"/>
  <c r="Q77" i="22"/>
  <c r="N77" i="22"/>
  <c r="U77" i="22"/>
  <c r="R12" i="22"/>
  <c r="R17" i="22"/>
  <c r="O21" i="22"/>
  <c r="R22" i="22"/>
  <c r="Q24" i="22"/>
  <c r="U24" i="22"/>
  <c r="U27" i="22"/>
  <c r="N27" i="22"/>
  <c r="U36" i="22"/>
  <c r="N36" i="22"/>
  <c r="V36" i="22"/>
  <c r="R37" i="22"/>
  <c r="Q41" i="22"/>
  <c r="Q45" i="22"/>
  <c r="Q51" i="22"/>
  <c r="R73" i="22"/>
  <c r="U30" i="22"/>
  <c r="N30" i="22"/>
  <c r="N12" i="22"/>
  <c r="V20" i="22"/>
  <c r="O20" i="22"/>
  <c r="N28" i="22"/>
  <c r="O30" i="22"/>
  <c r="U37" i="22"/>
  <c r="Q42" i="22"/>
  <c r="V43" i="22"/>
  <c r="O43" i="22"/>
  <c r="U43" i="22"/>
  <c r="U51" i="22"/>
  <c r="U80" i="22"/>
  <c r="Q80" i="22"/>
  <c r="N80" i="22"/>
  <c r="Q23" i="22"/>
  <c r="V17" i="22"/>
  <c r="N20" i="22"/>
  <c r="Q62" i="22"/>
  <c r="U62" i="22"/>
  <c r="N62" i="22"/>
  <c r="U28" i="22"/>
  <c r="N17" i="22"/>
  <c r="O17" i="22"/>
  <c r="Q19" i="22"/>
  <c r="Q27" i="22"/>
  <c r="V37" i="22"/>
  <c r="N43" i="22"/>
  <c r="O7" i="22"/>
  <c r="U16" i="22"/>
  <c r="U20" i="22"/>
  <c r="U29" i="22"/>
  <c r="N29" i="22"/>
  <c r="N37" i="22"/>
  <c r="U45" i="22"/>
  <c r="R51" i="22"/>
  <c r="O51" i="22"/>
  <c r="N15" i="22"/>
  <c r="R25" i="22"/>
  <c r="U25" i="22"/>
  <c r="U31" i="22"/>
  <c r="Q70" i="22"/>
  <c r="N70" i="22"/>
  <c r="O70" i="22"/>
  <c r="D93" i="22"/>
  <c r="O8" i="22"/>
  <c r="Q20" i="22"/>
  <c r="N21" i="22"/>
  <c r="V21" i="22"/>
  <c r="U23" i="22"/>
  <c r="N23" i="22"/>
  <c r="V23" i="22"/>
  <c r="N25" i="22"/>
  <c r="W25" i="22"/>
  <c r="R28" i="22"/>
  <c r="R30" i="22"/>
  <c r="O31" i="22"/>
  <c r="U34" i="22"/>
  <c r="R38" i="22"/>
  <c r="U38" i="22"/>
  <c r="V42" i="22"/>
  <c r="O42" i="22"/>
  <c r="U42" i="22"/>
  <c r="Q43" i="22"/>
  <c r="N44" i="22"/>
  <c r="U47" i="22"/>
  <c r="N47" i="22"/>
  <c r="U49" i="22"/>
  <c r="O56" i="22"/>
  <c r="R70" i="22"/>
  <c r="U75" i="22"/>
  <c r="N75" i="22"/>
  <c r="Q75" i="22"/>
  <c r="R75" i="22"/>
  <c r="V80" i="22"/>
  <c r="R78" i="22"/>
  <c r="Q79" i="22"/>
  <c r="V82" i="22"/>
  <c r="O82" i="22"/>
  <c r="R82" i="22"/>
  <c r="U82" i="22"/>
  <c r="G84" i="22"/>
  <c r="S78" i="22"/>
  <c r="O55" i="22"/>
  <c r="U55" i="22"/>
  <c r="E100" i="22"/>
  <c r="S100" i="22" s="1"/>
  <c r="O76" i="22"/>
  <c r="U76" i="22"/>
  <c r="Q86" i="22"/>
  <c r="U86" i="22"/>
  <c r="N86" i="22"/>
  <c r="V83" i="22"/>
  <c r="O83" i="22"/>
  <c r="R83" i="22"/>
  <c r="U83" i="22"/>
  <c r="E46" i="22" l="1"/>
  <c r="E67" i="22" s="1"/>
  <c r="P14" i="22"/>
  <c r="E88" i="22"/>
  <c r="S88" i="22" s="1"/>
  <c r="S89" i="22"/>
  <c r="S69" i="22"/>
  <c r="I5" i="22"/>
  <c r="N33" i="22"/>
  <c r="U33" i="22"/>
  <c r="O33" i="22"/>
  <c r="V33" i="22"/>
  <c r="Q33" i="22"/>
  <c r="D96" i="22"/>
  <c r="G93" i="22"/>
  <c r="F84" i="22"/>
  <c r="S84" i="22" s="1"/>
  <c r="G67" i="22"/>
  <c r="V9" i="22"/>
  <c r="Q9" i="22"/>
  <c r="U9" i="22"/>
  <c r="G96" i="22"/>
  <c r="O9" i="22"/>
  <c r="M67" i="22"/>
  <c r="M96" i="22"/>
  <c r="M103" i="22" s="1"/>
  <c r="M114" i="22" s="1"/>
  <c r="Q21" i="22"/>
  <c r="R33" i="22"/>
  <c r="Q34" i="22"/>
  <c r="N89" i="22"/>
  <c r="Q89" i="22"/>
  <c r="U89" i="22"/>
  <c r="R89" i="22"/>
  <c r="D101" i="22"/>
  <c r="D99" i="22" s="1"/>
  <c r="D63" i="22"/>
  <c r="D60" i="22" s="1"/>
  <c r="R57" i="22"/>
  <c r="N57" i="22"/>
  <c r="Q57" i="22"/>
  <c r="O57" i="22"/>
  <c r="U57" i="22"/>
  <c r="R19" i="22"/>
  <c r="R9" i="22"/>
  <c r="Q78" i="22"/>
  <c r="X67" i="22"/>
  <c r="O53" i="22"/>
  <c r="R53" i="22"/>
  <c r="U53" i="22"/>
  <c r="N53" i="22"/>
  <c r="Q53" i="22"/>
  <c r="R64" i="22"/>
  <c r="Q64" i="22"/>
  <c r="O64" i="22"/>
  <c r="N64" i="22"/>
  <c r="U64" i="22"/>
  <c r="V64" i="22"/>
  <c r="U46" i="22"/>
  <c r="N46" i="22"/>
  <c r="X44" i="22"/>
  <c r="Z44" i="22" s="1"/>
  <c r="V46" i="22"/>
  <c r="O46" i="22"/>
  <c r="X103" i="22"/>
  <c r="Q8" i="22"/>
  <c r="R8" i="22"/>
  <c r="U69" i="22"/>
  <c r="O69" i="22"/>
  <c r="R69" i="22"/>
  <c r="V69" i="22"/>
  <c r="N69" i="22"/>
  <c r="Q69" i="22"/>
  <c r="Q90" i="22"/>
  <c r="Q76" i="22"/>
  <c r="R76" i="22"/>
  <c r="S67" i="22" l="1"/>
  <c r="R14" i="22"/>
  <c r="P46" i="22"/>
  <c r="P115" i="22" s="1"/>
  <c r="Q14" i="22"/>
  <c r="S46" i="22"/>
  <c r="J5" i="22"/>
  <c r="G103" i="22"/>
  <c r="F96" i="22"/>
  <c r="F93" i="22"/>
  <c r="O84" i="22"/>
  <c r="O88" i="22"/>
  <c r="P118" i="22"/>
  <c r="P119" i="22" s="1"/>
  <c r="P117" i="22"/>
  <c r="U90" i="22"/>
  <c r="N90" i="22"/>
  <c r="Q100" i="22"/>
  <c r="N100" i="22"/>
  <c r="R100" i="22"/>
  <c r="V100" i="22"/>
  <c r="U100" i="22"/>
  <c r="O100" i="22"/>
  <c r="D98" i="22"/>
  <c r="D103" i="22" s="1"/>
  <c r="D114" i="22" s="1"/>
  <c r="D67" i="22"/>
  <c r="E96" i="22"/>
  <c r="N88" i="22"/>
  <c r="Q88" i="22"/>
  <c r="R88" i="22"/>
  <c r="U88" i="22"/>
  <c r="V84" i="22"/>
  <c r="N84" i="22"/>
  <c r="Q84" i="22"/>
  <c r="U84" i="22"/>
  <c r="R84" i="22"/>
  <c r="AA67" i="22"/>
  <c r="R46" i="22" l="1"/>
  <c r="P67" i="22"/>
  <c r="Q46" i="22"/>
  <c r="P96" i="22"/>
  <c r="R96" i="22" s="1"/>
  <c r="N5" i="22"/>
  <c r="O5" i="22" s="1"/>
  <c r="P5" i="22" s="1"/>
  <c r="Q5" i="22" s="1"/>
  <c r="R5" i="22" s="1"/>
  <c r="T5" i="22" s="1"/>
  <c r="U5" i="22" s="1"/>
  <c r="V5" i="22" s="1"/>
  <c r="W5" i="22" s="1"/>
  <c r="X5" i="22" s="1"/>
  <c r="Y5" i="22" s="1"/>
  <c r="Z5" i="22" s="1"/>
  <c r="AA5" i="22" s="1"/>
  <c r="K5" i="22"/>
  <c r="L5" i="22" s="1"/>
  <c r="S96" i="22"/>
  <c r="F103" i="22"/>
  <c r="G114" i="22"/>
  <c r="N96" i="22"/>
  <c r="U96" i="22"/>
  <c r="V96" i="22"/>
  <c r="O96" i="22"/>
  <c r="E101" i="22"/>
  <c r="Q101" i="22"/>
  <c r="N101" i="22"/>
  <c r="U101" i="22"/>
  <c r="V101" i="22"/>
  <c r="O101" i="22"/>
  <c r="R101" i="22"/>
  <c r="R65" i="22"/>
  <c r="U65" i="22"/>
  <c r="N65" i="22"/>
  <c r="Q65" i="22"/>
  <c r="V65" i="22"/>
  <c r="O65" i="22"/>
  <c r="Q96" i="22" l="1"/>
  <c r="P103" i="22"/>
  <c r="E99" i="22"/>
  <c r="S99" i="22" s="1"/>
  <c r="S101" i="22"/>
  <c r="R63" i="22"/>
  <c r="V63" i="22"/>
  <c r="O63" i="22"/>
  <c r="U63" i="22"/>
  <c r="Q63" i="22"/>
  <c r="N63" i="22"/>
  <c r="E98" i="22"/>
  <c r="E93" i="22"/>
  <c r="V93" i="22"/>
  <c r="O93" i="22"/>
  <c r="Q93" i="22"/>
  <c r="U93" i="22"/>
  <c r="N93" i="22"/>
  <c r="R93" i="22"/>
  <c r="Q99" i="22"/>
  <c r="N99" i="22"/>
  <c r="V99" i="22"/>
  <c r="O99" i="22"/>
  <c r="R99" i="22"/>
  <c r="U99" i="22"/>
  <c r="S93" i="22" l="1"/>
  <c r="E103" i="22"/>
  <c r="S98" i="22"/>
  <c r="O60" i="22"/>
  <c r="U60" i="22"/>
  <c r="V60" i="22"/>
  <c r="Q60" i="22"/>
  <c r="R60" i="22"/>
  <c r="N60" i="22"/>
  <c r="Q98" i="22"/>
  <c r="N98" i="22"/>
  <c r="U98" i="22"/>
  <c r="O98" i="22"/>
  <c r="R98" i="22"/>
  <c r="V98" i="22"/>
  <c r="E114" i="22" l="1"/>
  <c r="S103" i="22"/>
  <c r="Q103" i="22"/>
  <c r="N103" i="22"/>
  <c r="U103" i="22"/>
  <c r="F114" i="22"/>
  <c r="V103" i="22"/>
  <c r="R103" i="22"/>
  <c r="O103" i="22"/>
  <c r="Q67" i="22"/>
  <c r="O67" i="22"/>
  <c r="R67" i="22"/>
  <c r="V67" i="22"/>
  <c r="U67" i="22"/>
  <c r="N67" i="22"/>
</calcChain>
</file>

<file path=xl/sharedStrings.xml><?xml version="1.0" encoding="utf-8"?>
<sst xmlns="http://schemas.openxmlformats.org/spreadsheetml/2006/main" count="209" uniqueCount="196">
  <si>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</si>
  <si>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</si>
  <si>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</si>
  <si>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</si>
  <si>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</si>
  <si>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</si>
  <si>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</si>
  <si>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</si>
  <si>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</si>
  <si>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</si>
  <si>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</si>
  <si>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</si>
  <si>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</si>
  <si>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</si>
  <si>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</si>
  <si>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</si>
  <si>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</si>
  <si>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</si>
  <si>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</si>
  <si>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</si>
  <si>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</si>
  <si>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</si>
  <si>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</si>
  <si>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</si>
  <si>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</si>
  <si>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</si>
  <si>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</si>
  <si>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</si>
  <si>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</si>
  <si>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</si>
  <si>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</si>
  <si>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</si>
  <si>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</si>
  <si>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</si>
  <si>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</si>
  <si>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</si>
  <si>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</si>
  <si>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</si>
  <si>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</si>
  <si>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</si>
  <si>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</si>
  <si>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</si>
  <si>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</si>
  <si>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</si>
  <si>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</si>
  <si>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</si>
  <si>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</si>
  <si>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</si>
  <si>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</si>
  <si>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</si>
  <si>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</si>
  <si>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</si>
  <si>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</si>
  <si>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</si>
  <si>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</si>
  <si>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</si>
  <si>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</si>
  <si>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</si>
  <si>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</si>
  <si>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</si>
  <si>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</si>
  <si>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</si>
  <si>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</si>
  <si>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</si>
  <si>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</si>
  <si>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</si>
  <si>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</si>
  <si>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</si>
  <si>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</si>
  <si>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</si>
  <si>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</si>
  <si>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</si>
  <si>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</si>
  <si>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</si>
  <si>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</si>
  <si>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</si>
  <si>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</si>
  <si>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</si>
  <si>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</si>
  <si>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</si>
  <si>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</si>
  <si>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</si>
  <si>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</si>
  <si>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</si>
  <si>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</si>
  <si>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</si>
  <si>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</si>
  <si>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</si>
  <si>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</si>
  <si>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</si>
  <si>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</si>
  <si>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</si>
  <si>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</si>
  <si>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</si>
  <si>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</si>
  <si>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</si>
  <si>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</si>
  <si>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</si>
  <si>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</si>
  <si>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</si>
  <si>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</si>
  <si>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</si>
  <si>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</si>
  <si>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</si>
  <si>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</si>
  <si>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</si>
  <si>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</si>
  <si>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</si>
  <si>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</si>
  <si>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</si>
  <si>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</si>
  <si>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</si>
  <si>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</si>
  <si>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</si>
  <si>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</si>
  <si>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</si>
  <si>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</si>
  <si>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</si>
  <si>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</si>
  <si>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</si>
  <si>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</si>
  <si>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</si>
  <si>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</si>
  <si>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</si>
  <si>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</si>
  <si>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</si>
  <si>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</si>
  <si>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</si>
  <si>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</si>
  <si>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</si>
  <si>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</si>
  <si>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</si>
  <si>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</si>
  <si>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</si>
  <si>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</si>
  <si>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</si>
  <si>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</si>
  <si>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</si>
  <si>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</si>
  <si>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</si>
  <si>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</si>
  <si>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</si>
  <si>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</si>
  <si>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</si>
  <si>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</si>
  <si>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</si>
  <si>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</si>
  <si>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</si>
  <si>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</si>
  <si>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</si>
  <si>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</si>
  <si>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</si>
  <si>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</si>
  <si>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</si>
  <si>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</si>
  <si>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</si>
  <si>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</si>
  <si>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</si>
  <si>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</si>
  <si>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</si>
  <si>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</si>
  <si>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</si>
  <si>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</si>
  <si>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</si>
  <si>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</si>
  <si>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</si>
  <si>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</si>
  <si>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</si>
  <si>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березень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</si>
  <si>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</si>
  <si>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травень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</si>
  <si>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</si>
  <si>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41034500</t>
  </si>
  <si>
    <t>7.1.</t>
  </si>
  <si>
    <t>7.2.</t>
  </si>
  <si>
    <t>7.3.</t>
  </si>
  <si>
    <t>7.4.</t>
  </si>
  <si>
    <t>7.5.</t>
  </si>
  <si>
    <t>7.6.</t>
  </si>
  <si>
    <t>Уточнений бюджет на 2022 рік</t>
  </si>
  <si>
    <t>червень</t>
  </si>
  <si>
    <t>Надійшло за січень - червень 2022р.</t>
  </si>
  <si>
    <t>План на січень - червень 2022 року</t>
  </si>
  <si>
    <t>Відхилення надходжень до бюджету на січень - червень 2022 року</t>
  </si>
  <si>
    <t>План на січень - червень 2022р. (розрахунковий)</t>
  </si>
  <si>
    <t xml:space="preserve">Відхилення надходжень до бюджету на січень - червень 2022 року (розрахунковий) </t>
  </si>
  <si>
    <t>% виконання до плану на 2022р. (норма 50,0%)</t>
  </si>
  <si>
    <t>Надійшло за січень - червень 2021р.</t>
  </si>
  <si>
    <t>Відхилення факту січня - червень 2022р. від факту січня - червня 2021р.</t>
  </si>
  <si>
    <t>Аналіз виконання бюджету Вінницької міської територіальної громади за січень - червень 2022 року</t>
  </si>
  <si>
    <t xml:space="preserve">запланований відсоток приросту / зменшення у 2022 році </t>
  </si>
  <si>
    <r>
      <t xml:space="preserve">* на відшкодування витрат </t>
    </r>
    <r>
      <rPr>
        <b/>
        <i/>
        <u/>
        <sz val="14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</si>
  <si>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4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</si>
  <si>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4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4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</si>
  <si>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4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</si>
  <si>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r>
      <t xml:space="preserve">*субвенція з </t>
    </r>
    <r>
      <rPr>
        <b/>
        <i/>
        <u/>
        <sz val="14"/>
        <rFont val="Times New Roman Cyr"/>
        <charset val="204"/>
      </rPr>
      <t xml:space="preserve">бюджету Вороновицької </t>
    </r>
    <r>
      <rPr>
        <i/>
        <sz val="14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4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4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</si>
</sst>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2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4"/>
      <name val="Times New Roman Cyr"/>
      <charset val="204"/>
    </font>
    <font>
      <sz val="14.5"/>
      <name val="Times New Roman"/>
      <family val="1"/>
      <charset val="204"/>
    </font>
    <font>
      <i/>
      <sz val="14.5"/>
      <name val="Times New Roman Cyr"/>
      <charset val="204"/>
    </font>
    <font>
      <sz val="14.5"/>
      <name val="Times New Roman Cyr"/>
      <charset val="204"/>
    </font>
    <font>
      <i/>
      <sz val="14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04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166" fontId="33" fillId="2" borderId="1" xfId="1" applyNumberFormat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center" vertical="center" wrapText="1"/>
    </xf>
    <xf numFmtId="166" fontId="45" fillId="2" borderId="1" xfId="1" applyNumberFormat="1" applyFont="1" applyFill="1" applyBorder="1" applyAlignment="1">
      <alignment horizontal="center" vertical="center" wrapText="1"/>
    </xf>
    <xf numFmtId="166" fontId="45" fillId="2" borderId="1" xfId="3" applyNumberFormat="1" applyFont="1" applyFill="1" applyBorder="1" applyAlignment="1">
      <alignment horizontal="center" vertical="center"/>
    </xf>
    <xf numFmtId="164" fontId="45" fillId="2" borderId="1" xfId="3" applyNumberFormat="1" applyFont="1" applyFill="1" applyBorder="1" applyAlignment="1">
      <alignment horizontal="center" vertical="center"/>
    </xf>
    <xf numFmtId="166" fontId="44" fillId="2" borderId="0" xfId="1" applyNumberFormat="1" applyFont="1" applyFill="1" applyBorder="1"/>
    <xf numFmtId="0" fontId="44" fillId="2" borderId="0" xfId="1" applyFont="1" applyFill="1" applyBorder="1"/>
    <xf numFmtId="49" fontId="45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6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6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167" fontId="31" fillId="0" borderId="1" xfId="3" applyNumberFormat="1" applyFont="1" applyFill="1" applyBorder="1"/>
    <xf numFmtId="0" fontId="48" fillId="0" borderId="1" xfId="3" applyFont="1" applyFill="1" applyBorder="1" applyAlignment="1">
      <alignment horizontal="left" vertical="center" wrapText="1"/>
    </xf>
    <xf numFmtId="49" fontId="49" fillId="0" borderId="1" xfId="3" applyNumberFormat="1" applyFont="1" applyFill="1" applyBorder="1" applyAlignment="1">
      <alignment horizontal="left" vertical="center" wrapText="1"/>
    </xf>
    <xf numFmtId="0" fontId="50" fillId="0" borderId="1" xfId="2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48" fillId="0" borderId="1" xfId="2" applyFont="1" applyFill="1" applyBorder="1" applyAlignment="1">
      <alignment vertical="center" wrapText="1"/>
    </xf>
    <xf numFmtId="49" fontId="48" fillId="0" borderId="1" xfId="3" applyNumberFormat="1" applyFont="1" applyFill="1" applyBorder="1" applyAlignment="1">
      <alignment horizontal="left" vertical="center" wrapText="1"/>
    </xf>
    <xf numFmtId="49" fontId="51" fillId="0" borderId="1" xfId="3" applyNumberFormat="1" applyFont="1" applyFill="1" applyBorder="1" applyAlignment="1">
      <alignment horizontal="left" vertical="center" wrapText="1"/>
    </xf>
    <xf numFmtId="49" fontId="49" fillId="0" borderId="1" xfId="2" applyNumberFormat="1" applyFont="1" applyFill="1" applyBorder="1" applyAlignment="1">
      <alignment horizontal="left" vertical="center" wrapText="1"/>
    </xf>
    <xf numFmtId="0" fontId="49" fillId="0" borderId="1" xfId="2" applyNumberFormat="1" applyFont="1" applyFill="1" applyBorder="1" applyAlignment="1">
      <alignment horizontal="left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2" fontId="33" fillId="0" borderId="1" xfId="1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 wrapText="1"/>
    </xf>
    <xf numFmtId="166" fontId="45" fillId="0" borderId="1" xfId="1" applyNumberFormat="1" applyFont="1" applyFill="1" applyBorder="1" applyAlignment="1">
      <alignment horizontal="center" vertical="center" wrapText="1"/>
    </xf>
    <xf numFmtId="166" fontId="45" fillId="0" borderId="1" xfId="3" applyNumberFormat="1" applyFont="1" applyFill="1" applyBorder="1" applyAlignment="1">
      <alignment horizontal="center" vertical="center"/>
    </xf>
    <xf numFmtId="164" fontId="45" fillId="0" borderId="1" xfId="3" applyNumberFormat="1" applyFont="1" applyFill="1" applyBorder="1" applyAlignment="1">
      <alignment horizontal="center" vertical="center"/>
    </xf>
    <xf numFmtId="0" fontId="44" fillId="0" borderId="0" xfId="1" applyFont="1" applyFill="1" applyBorder="1"/>
    <xf numFmtId="49" fontId="45" fillId="0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vertical="center"/>
    </xf>
    <xf numFmtId="0" fontId="30" fillId="0" borderId="0" xfId="0" applyFont="1" applyFill="1" applyBorder="1"/>
    <xf numFmtId="166" fontId="3" fillId="2" borderId="0" xfId="2" applyNumberFormat="1" applyFont="1" applyFill="1" applyBorder="1" applyAlignment="1">
      <alignment horizontal="center"/>
    </xf>
    <xf numFmtId="1" fontId="15" fillId="2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1" fillId="2" borderId="1" xfId="3" applyNumberFormat="1" applyFont="1" applyFill="1" applyBorder="1"/>
    <xf numFmtId="166" fontId="20" fillId="2" borderId="0" xfId="1" applyNumberFormat="1" applyFont="1" applyFill="1" applyBorder="1" applyAlignment="1">
      <alignment horizontal="center" vertical="center" wrapText="1"/>
    </xf>
    <xf numFmtId="0" fontId="17" fillId="2" borderId="0" xfId="2" applyFont="1" applyFill="1"/>
    <xf numFmtId="0" fontId="18" fillId="2" borderId="0" xfId="2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2" fillId="2" borderId="0" xfId="2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164" fontId="38" fillId="0" borderId="2" xfId="3" applyNumberFormat="1" applyFont="1" applyFill="1" applyBorder="1" applyAlignment="1">
      <alignment horizontal="center" vertical="center"/>
    </xf>
    <xf numFmtId="164" fontId="38" fillId="0" borderId="3" xfId="3" applyNumberFormat="1" applyFont="1" applyFill="1" applyBorder="1" applyAlignment="1">
      <alignment horizontal="center" vertical="center"/>
    </xf>
    <xf numFmtId="164" fontId="38" fillId="0" borderId="4" xfId="3" applyNumberFormat="1" applyFont="1" applyFill="1" applyBorder="1" applyAlignment="1">
      <alignment horizontal="center" vertical="center"/>
    </xf>
    <xf numFmtId="49" fontId="30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2"/>
  <sheetViews>
    <sheetView showGridLines="0" tabSelected="1" view="pageBreakPreview" zoomScale="60" zoomScaleNormal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8" sqref="B18"/>
    </sheetView>
  </sheetViews>
  <sheetFormatPr defaultRowHeight="12.75" x14ac:dyDescent="0.2"/>
  <cols>
    <col min="1" max="1" width="12.28515625" style="20" customWidth="1"/>
    <col min="2" max="2" width="74" style="20" customWidth="1"/>
    <col min="3" max="3" width="19.140625" style="20" bestFit="1" customWidth="1"/>
    <col min="4" max="4" width="24.140625" style="20" hidden="1" customWidth="1"/>
    <col min="5" max="5" width="28.140625" style="20" customWidth="1"/>
    <col min="6" max="6" width="27.28515625" style="187" customWidth="1"/>
    <col min="7" max="12" width="21.28515625" style="3" hidden="1" customWidth="1"/>
    <col min="13" max="13" width="27.7109375" style="3" customWidth="1"/>
    <col min="14" max="14" width="25.28515625" style="1" customWidth="1"/>
    <col min="15" max="15" width="14" style="1" customWidth="1"/>
    <col min="16" max="16" width="31.140625" style="1" hidden="1" customWidth="1"/>
    <col min="17" max="17" width="42.5703125" style="1" hidden="1" customWidth="1"/>
    <col min="18" max="18" width="10.85546875" style="1" hidden="1" customWidth="1"/>
    <col min="19" max="19" width="17.7109375" style="1" customWidth="1"/>
    <col min="20" max="20" width="28" style="187" customWidth="1"/>
    <col min="21" max="21" width="30.42578125" style="1" customWidth="1"/>
    <col min="22" max="22" width="14.7109375" style="3" bestFit="1" customWidth="1"/>
    <col min="23" max="23" width="24.140625" style="3" hidden="1" customWidth="1"/>
    <col min="24" max="24" width="19.140625" style="3" hidden="1" customWidth="1"/>
    <col min="25" max="25" width="15.85546875" style="3" hidden="1" customWidth="1"/>
    <col min="26" max="26" width="0" style="3" hidden="1" customWidth="1"/>
    <col min="27" max="27" width="24.140625" style="3" hidden="1" customWidth="1"/>
    <col min="28" max="28" width="18.42578125" style="3" hidden="1" customWidth="1"/>
    <col min="29" max="29" width="15.140625" style="3" bestFit="1" customWidth="1"/>
    <col min="30" max="16384" width="9.140625" style="3"/>
  </cols>
  <sheetData>
    <row r="1" spans="1:37" ht="30" customHeight="1" x14ac:dyDescent="0.2">
      <c r="A1" s="198" t="s">
        <v>189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37" ht="18.75" x14ac:dyDescent="0.3">
      <c r="A2" s="23" t="s">
        <v>47</v>
      </c>
      <c r="B2" s="18"/>
      <c r="C2" s="18"/>
      <c r="D2" s="96"/>
      <c r="E2" s="18"/>
      <c r="F2" s="174"/>
      <c r="G2" s="96"/>
      <c r="H2" s="96"/>
      <c r="I2" s="96"/>
      <c r="J2" s="96"/>
      <c r="K2" s="96"/>
      <c r="L2" s="96"/>
      <c r="M2" s="96"/>
      <c r="T2" s="174"/>
      <c r="U2" s="5" t="s">
        <v>13</v>
      </c>
      <c r="V2" s="5"/>
    </row>
    <row r="3" spans="1:37" s="65" customFormat="1" ht="15" customHeight="1" x14ac:dyDescent="0.25">
      <c r="A3" s="203" t="s">
        <v>0</v>
      </c>
      <c r="B3" s="202" t="s">
        <v>1</v>
      </c>
      <c r="C3" s="202" t="s">
        <v>2</v>
      </c>
      <c r="D3" s="194" t="s">
        <v>143</v>
      </c>
      <c r="E3" s="194" t="s">
        <v>179</v>
      </c>
      <c r="F3" s="197" t="s">
        <v>181</v>
      </c>
      <c r="G3" s="194" t="s">
        <v>62</v>
      </c>
      <c r="H3" s="194" t="s">
        <v>152</v>
      </c>
      <c r="I3" s="194" t="s">
        <v>168</v>
      </c>
      <c r="J3" s="194" t="s">
        <v>170</v>
      </c>
      <c r="K3" s="194" t="s">
        <v>170</v>
      </c>
      <c r="L3" s="194" t="s">
        <v>180</v>
      </c>
      <c r="M3" s="194" t="s">
        <v>182</v>
      </c>
      <c r="N3" s="194" t="s">
        <v>183</v>
      </c>
      <c r="O3" s="194" t="s">
        <v>3</v>
      </c>
      <c r="P3" s="194" t="s">
        <v>184</v>
      </c>
      <c r="Q3" s="194" t="s">
        <v>185</v>
      </c>
      <c r="R3" s="194" t="s">
        <v>3</v>
      </c>
      <c r="S3" s="190" t="s">
        <v>186</v>
      </c>
      <c r="T3" s="197" t="s">
        <v>187</v>
      </c>
      <c r="U3" s="194" t="s">
        <v>188</v>
      </c>
      <c r="V3" s="194" t="s">
        <v>3</v>
      </c>
      <c r="AB3" s="190" t="s">
        <v>190</v>
      </c>
    </row>
    <row r="4" spans="1:37" s="65" customFormat="1" ht="79.5" customHeight="1" x14ac:dyDescent="0.25">
      <c r="A4" s="203"/>
      <c r="B4" s="202"/>
      <c r="C4" s="202"/>
      <c r="D4" s="194"/>
      <c r="E4" s="194"/>
      <c r="F4" s="197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0"/>
      <c r="T4" s="197"/>
      <c r="U4" s="194"/>
      <c r="V4" s="194"/>
      <c r="AB4" s="190"/>
    </row>
    <row r="5" spans="1:37" s="69" customFormat="1" ht="20.25" x14ac:dyDescent="0.2">
      <c r="A5" s="66" t="s">
        <v>4</v>
      </c>
      <c r="B5" s="67" t="s">
        <v>5</v>
      </c>
      <c r="C5" s="67">
        <f>B5+1</f>
        <v>3</v>
      </c>
      <c r="D5" s="67">
        <f>C5+1</f>
        <v>4</v>
      </c>
      <c r="E5" s="67">
        <v>4</v>
      </c>
      <c r="F5" s="175">
        <f t="shared" ref="F5:G5" si="0">E5+1</f>
        <v>5</v>
      </c>
      <c r="G5" s="67">
        <f t="shared" si="0"/>
        <v>6</v>
      </c>
      <c r="H5" s="67">
        <f t="shared" ref="H5" si="1">G5+1</f>
        <v>7</v>
      </c>
      <c r="I5" s="67">
        <f t="shared" ref="I5" si="2">H5+1</f>
        <v>8</v>
      </c>
      <c r="J5" s="67">
        <f t="shared" ref="J5" si="3">I5+1</f>
        <v>9</v>
      </c>
      <c r="K5" s="67">
        <f t="shared" ref="K5" si="4">J5+1</f>
        <v>10</v>
      </c>
      <c r="L5" s="67">
        <f t="shared" ref="L5" si="5">K5+1</f>
        <v>11</v>
      </c>
      <c r="M5" s="67">
        <v>6</v>
      </c>
      <c r="N5" s="67">
        <f t="shared" ref="N5" si="6">M5+1</f>
        <v>7</v>
      </c>
      <c r="O5" s="67">
        <f t="shared" ref="O5" si="7">N5+1</f>
        <v>8</v>
      </c>
      <c r="P5" s="67">
        <f t="shared" ref="P5" si="8">O5+1</f>
        <v>9</v>
      </c>
      <c r="Q5" s="67">
        <f t="shared" ref="Q5" si="9">P5+1</f>
        <v>10</v>
      </c>
      <c r="R5" s="67">
        <f t="shared" ref="R5" si="10">Q5+1</f>
        <v>11</v>
      </c>
      <c r="S5" s="67">
        <v>9</v>
      </c>
      <c r="T5" s="175">
        <f t="shared" ref="T5:V5" si="11">S5+1</f>
        <v>10</v>
      </c>
      <c r="U5" s="67">
        <f t="shared" si="11"/>
        <v>11</v>
      </c>
      <c r="V5" s="67">
        <f t="shared" si="11"/>
        <v>12</v>
      </c>
      <c r="W5" s="67">
        <f t="shared" ref="W5" si="12">V5+1</f>
        <v>13</v>
      </c>
      <c r="X5" s="67">
        <f t="shared" ref="X5" si="13">W5+1</f>
        <v>14</v>
      </c>
      <c r="Y5" s="67">
        <f t="shared" ref="Y5" si="14">X5+1</f>
        <v>15</v>
      </c>
      <c r="Z5" s="67">
        <f t="shared" ref="Z5" si="15">Y5+1</f>
        <v>16</v>
      </c>
      <c r="AA5" s="67">
        <f t="shared" ref="AA5" si="16">Z5+1</f>
        <v>17</v>
      </c>
      <c r="AB5" s="67">
        <v>13</v>
      </c>
      <c r="AC5" s="68"/>
      <c r="AD5" s="68"/>
      <c r="AE5" s="68"/>
      <c r="AF5" s="68"/>
      <c r="AG5" s="68"/>
      <c r="AH5" s="68"/>
      <c r="AI5" s="68"/>
      <c r="AJ5" s="68"/>
      <c r="AK5" s="68"/>
    </row>
    <row r="6" spans="1:37" s="70" customFormat="1" ht="26.25" customHeight="1" x14ac:dyDescent="0.2">
      <c r="A6" s="199" t="s">
        <v>6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</row>
    <row r="7" spans="1:37" s="75" customFormat="1" ht="36.75" customHeight="1" x14ac:dyDescent="0.25">
      <c r="A7" s="71">
        <v>1</v>
      </c>
      <c r="B7" s="153" t="s">
        <v>64</v>
      </c>
      <c r="C7" s="72" t="s">
        <v>14</v>
      </c>
      <c r="D7" s="112">
        <v>2859393.46</v>
      </c>
      <c r="E7" s="112">
        <f>D7</f>
        <v>2859393.46</v>
      </c>
      <c r="F7" s="176">
        <v>1417482.0619999999</v>
      </c>
      <c r="G7" s="112">
        <v>178227.345</v>
      </c>
      <c r="H7" s="112">
        <v>241711.46</v>
      </c>
      <c r="I7" s="112">
        <v>229956.74600000001</v>
      </c>
      <c r="J7" s="112">
        <v>213294.984</v>
      </c>
      <c r="K7" s="112">
        <v>258055.78899999999</v>
      </c>
      <c r="L7" s="112">
        <v>296235.73800000001</v>
      </c>
      <c r="M7" s="113">
        <v>1371664.044</v>
      </c>
      <c r="N7" s="114">
        <f t="shared" ref="N7:N41" si="17">F7-M7</f>
        <v>45818.017999999924</v>
      </c>
      <c r="O7" s="115">
        <f>F7/M7*100</f>
        <v>103.34032361644378</v>
      </c>
      <c r="P7" s="114">
        <f>E7/12*6</f>
        <v>1429696.73</v>
      </c>
      <c r="Q7" s="114">
        <f t="shared" ref="Q7:Q41" si="18">F7-P7</f>
        <v>-12214.668000000063</v>
      </c>
      <c r="R7" s="115">
        <f t="shared" ref="R7:R39" si="19">F7/P7*100</f>
        <v>99.145646223867345</v>
      </c>
      <c r="S7" s="115">
        <f>F7/E7*100</f>
        <v>49.572823111933673</v>
      </c>
      <c r="T7" s="176">
        <v>1113374.0830000001</v>
      </c>
      <c r="U7" s="114">
        <f t="shared" ref="U7:U41" si="20">F7-T7</f>
        <v>304107.97899999982</v>
      </c>
      <c r="V7" s="115">
        <f>F7/T7*100</f>
        <v>127.31408819761434</v>
      </c>
      <c r="W7" s="73"/>
      <c r="X7" s="73"/>
      <c r="Y7" s="73">
        <f>W7-X7</f>
        <v>0</v>
      </c>
      <c r="Z7" s="74" t="e">
        <f>W7/X7*100</f>
        <v>#DIV/0!</v>
      </c>
      <c r="AB7" s="115">
        <v>120.1</v>
      </c>
    </row>
    <row r="8" spans="1:37" s="75" customFormat="1" ht="37.5" x14ac:dyDescent="0.25">
      <c r="A8" s="71">
        <f>A7+1</f>
        <v>2</v>
      </c>
      <c r="B8" s="153" t="s">
        <v>35</v>
      </c>
      <c r="C8" s="72" t="s">
        <v>16</v>
      </c>
      <c r="D8" s="112">
        <v>1010</v>
      </c>
      <c r="E8" s="112">
        <f t="shared" ref="E8:E45" si="21">D8</f>
        <v>1010</v>
      </c>
      <c r="F8" s="176">
        <v>443.57299999999998</v>
      </c>
      <c r="G8" s="112">
        <v>2.6560000000000001</v>
      </c>
      <c r="H8" s="112">
        <v>179.74100000000001</v>
      </c>
      <c r="I8" s="112">
        <v>86.79</v>
      </c>
      <c r="J8" s="112">
        <v>30.728999999999999</v>
      </c>
      <c r="K8" s="112">
        <v>127.95</v>
      </c>
      <c r="L8" s="112">
        <v>15.706</v>
      </c>
      <c r="M8" s="113">
        <v>425.7</v>
      </c>
      <c r="N8" s="114">
        <f t="shared" si="17"/>
        <v>17.87299999999999</v>
      </c>
      <c r="O8" s="115">
        <f>F8/M8*100</f>
        <v>104.19849659384543</v>
      </c>
      <c r="P8" s="114">
        <f t="shared" ref="P8:P45" si="22">E8/12*6</f>
        <v>505</v>
      </c>
      <c r="Q8" s="114">
        <f t="shared" si="18"/>
        <v>-61.427000000000021</v>
      </c>
      <c r="R8" s="115">
        <f t="shared" si="19"/>
        <v>87.836237623762372</v>
      </c>
      <c r="S8" s="115">
        <f t="shared" ref="S8:S70" si="23">F8/E8*100</f>
        <v>43.918118811881186</v>
      </c>
      <c r="T8" s="176">
        <v>675.26200000000006</v>
      </c>
      <c r="U8" s="114">
        <f t="shared" si="20"/>
        <v>-231.68900000000008</v>
      </c>
      <c r="V8" s="115">
        <f>F8/T8*100</f>
        <v>65.689021446490386</v>
      </c>
      <c r="W8" s="73"/>
      <c r="X8" s="73"/>
      <c r="Y8" s="73">
        <f>T7/0.5</f>
        <v>2226748.1660000002</v>
      </c>
      <c r="Z8" s="74">
        <f>X8/Y8*100</f>
        <v>0</v>
      </c>
      <c r="AB8" s="115">
        <v>103.1</v>
      </c>
    </row>
    <row r="9" spans="1:37" s="75" customFormat="1" ht="37.5" x14ac:dyDescent="0.25">
      <c r="A9" s="71">
        <v>3</v>
      </c>
      <c r="B9" s="153" t="s">
        <v>104</v>
      </c>
      <c r="C9" s="72" t="s">
        <v>105</v>
      </c>
      <c r="D9" s="112">
        <f>SUM(D10:D13)</f>
        <v>484</v>
      </c>
      <c r="E9" s="112">
        <f t="shared" si="21"/>
        <v>484</v>
      </c>
      <c r="F9" s="176">
        <v>255.03000000000006</v>
      </c>
      <c r="G9" s="112">
        <f t="shared" ref="G9:M9" si="24">SUM(G10:G13)</f>
        <v>1.3639999999999999</v>
      </c>
      <c r="H9" s="112">
        <f t="shared" si="24"/>
        <v>157.91800000000001</v>
      </c>
      <c r="I9" s="112">
        <f t="shared" si="24"/>
        <v>0.187</v>
      </c>
      <c r="J9" s="112">
        <f t="shared" si="24"/>
        <v>1.9410000000000001</v>
      </c>
      <c r="K9" s="112">
        <f t="shared" ref="K9" si="25">SUM(K10:K13)</f>
        <v>93.403000000000006</v>
      </c>
      <c r="L9" s="112">
        <f t="shared" si="24"/>
        <v>0.217</v>
      </c>
      <c r="M9" s="112">
        <f t="shared" si="24"/>
        <v>254.76999999999998</v>
      </c>
      <c r="N9" s="114">
        <f t="shared" si="17"/>
        <v>0.26000000000007617</v>
      </c>
      <c r="O9" s="115">
        <f>F9/M9*100</f>
        <v>100.10205283196612</v>
      </c>
      <c r="P9" s="114">
        <f t="shared" si="22"/>
        <v>242</v>
      </c>
      <c r="Q9" s="114">
        <f t="shared" si="18"/>
        <v>13.030000000000058</v>
      </c>
      <c r="R9" s="115">
        <f t="shared" si="19"/>
        <v>105.38429752066119</v>
      </c>
      <c r="S9" s="115">
        <f t="shared" si="23"/>
        <v>52.692148760330596</v>
      </c>
      <c r="T9" s="176">
        <f>SUM(T10:T13)</f>
        <v>213.32800000000003</v>
      </c>
      <c r="U9" s="114">
        <f t="shared" si="20"/>
        <v>41.702000000000027</v>
      </c>
      <c r="V9" s="115">
        <f>F9/T9*100</f>
        <v>119.54830120753019</v>
      </c>
      <c r="W9" s="73"/>
      <c r="X9" s="73"/>
      <c r="Y9" s="73"/>
      <c r="Z9" s="74"/>
      <c r="AB9" s="115">
        <v>102.8</v>
      </c>
    </row>
    <row r="10" spans="1:37" s="75" customFormat="1" ht="56.25" x14ac:dyDescent="0.25">
      <c r="A10" s="76" t="s">
        <v>106</v>
      </c>
      <c r="B10" s="154" t="s">
        <v>144</v>
      </c>
      <c r="C10" s="151" t="s">
        <v>145</v>
      </c>
      <c r="D10" s="112">
        <v>23</v>
      </c>
      <c r="E10" s="112">
        <f t="shared" si="21"/>
        <v>23</v>
      </c>
      <c r="F10" s="177">
        <v>8.76</v>
      </c>
      <c r="G10" s="112">
        <v>0</v>
      </c>
      <c r="H10" s="112">
        <v>4.5519999999999996</v>
      </c>
      <c r="I10" s="112">
        <v>0</v>
      </c>
      <c r="J10" s="112">
        <v>0</v>
      </c>
      <c r="K10" s="112">
        <v>4.2080000000000002</v>
      </c>
      <c r="L10" s="112">
        <v>0</v>
      </c>
      <c r="M10" s="113">
        <v>8.6999999999999993</v>
      </c>
      <c r="N10" s="114">
        <f t="shared" ref="N10" si="26">F10-M10</f>
        <v>6.0000000000000497E-2</v>
      </c>
      <c r="O10" s="119">
        <f t="shared" ref="O10:O11" si="27">F10/M10*100</f>
        <v>100.68965517241379</v>
      </c>
      <c r="P10" s="114">
        <f t="shared" si="22"/>
        <v>11.5</v>
      </c>
      <c r="Q10" s="114">
        <f t="shared" ref="Q10" si="28">F10-P10</f>
        <v>-2.74</v>
      </c>
      <c r="R10" s="119">
        <f t="shared" si="19"/>
        <v>76.173913043478265</v>
      </c>
      <c r="S10" s="115">
        <f t="shared" si="23"/>
        <v>38.086956521739133</v>
      </c>
      <c r="T10" s="176">
        <v>13.062999999999999</v>
      </c>
      <c r="U10" s="114">
        <f t="shared" si="20"/>
        <v>-4.302999999999999</v>
      </c>
      <c r="V10" s="115">
        <f t="shared" ref="V10:V11" si="29">F10/T10*100</f>
        <v>67.059634080992112</v>
      </c>
      <c r="W10" s="73"/>
      <c r="X10" s="73"/>
      <c r="Y10" s="73"/>
      <c r="Z10" s="74"/>
      <c r="AB10" s="115">
        <v>103.8</v>
      </c>
    </row>
    <row r="11" spans="1:37" s="79" customFormat="1" ht="75" x14ac:dyDescent="0.25">
      <c r="A11" s="76" t="s">
        <v>107</v>
      </c>
      <c r="B11" s="154" t="s">
        <v>99</v>
      </c>
      <c r="C11" s="64" t="s">
        <v>100</v>
      </c>
      <c r="D11" s="116">
        <v>160</v>
      </c>
      <c r="E11" s="116">
        <f t="shared" si="21"/>
        <v>160</v>
      </c>
      <c r="F11" s="177">
        <v>127.988</v>
      </c>
      <c r="G11" s="116">
        <v>0</v>
      </c>
      <c r="H11" s="116">
        <v>69.736000000000004</v>
      </c>
      <c r="I11" s="116">
        <v>0</v>
      </c>
      <c r="J11" s="116">
        <v>0</v>
      </c>
      <c r="K11" s="116">
        <v>58.252000000000002</v>
      </c>
      <c r="L11" s="116">
        <v>0</v>
      </c>
      <c r="M11" s="117">
        <v>127.9</v>
      </c>
      <c r="N11" s="118">
        <f t="shared" si="17"/>
        <v>8.7999999999993861E-2</v>
      </c>
      <c r="O11" s="119">
        <f t="shared" si="27"/>
        <v>100.06880375293197</v>
      </c>
      <c r="P11" s="118">
        <f t="shared" si="22"/>
        <v>80</v>
      </c>
      <c r="Q11" s="118">
        <f t="shared" si="18"/>
        <v>47.988</v>
      </c>
      <c r="R11" s="119">
        <f t="shared" si="19"/>
        <v>159.98500000000001</v>
      </c>
      <c r="S11" s="119">
        <f t="shared" si="23"/>
        <v>79.992500000000007</v>
      </c>
      <c r="T11" s="177">
        <v>67.532000000000011</v>
      </c>
      <c r="U11" s="118">
        <f t="shared" si="20"/>
        <v>60.455999999999989</v>
      </c>
      <c r="V11" s="119">
        <f t="shared" si="29"/>
        <v>189.52200438310726</v>
      </c>
      <c r="AB11" s="119">
        <v>103.6</v>
      </c>
    </row>
    <row r="12" spans="1:37" s="79" customFormat="1" ht="37.5" x14ac:dyDescent="0.25">
      <c r="A12" s="76" t="s">
        <v>108</v>
      </c>
      <c r="B12" s="154" t="s">
        <v>139</v>
      </c>
      <c r="C12" s="64" t="s">
        <v>103</v>
      </c>
      <c r="D12" s="116">
        <v>86</v>
      </c>
      <c r="E12" s="116">
        <f t="shared" si="21"/>
        <v>86</v>
      </c>
      <c r="F12" s="177">
        <v>44.243000000000002</v>
      </c>
      <c r="G12" s="116">
        <v>0.96</v>
      </c>
      <c r="H12" s="116">
        <v>19.995000000000001</v>
      </c>
      <c r="I12" s="116">
        <v>0.187</v>
      </c>
      <c r="J12" s="116">
        <v>1.9410000000000001</v>
      </c>
      <c r="K12" s="116">
        <v>20.943000000000001</v>
      </c>
      <c r="L12" s="116">
        <v>0.217</v>
      </c>
      <c r="M12" s="117">
        <v>44.17</v>
      </c>
      <c r="N12" s="118">
        <f t="shared" si="17"/>
        <v>7.3000000000000398E-2</v>
      </c>
      <c r="O12" s="119">
        <f>F12/M12*100</f>
        <v>100.16527054561919</v>
      </c>
      <c r="P12" s="118">
        <f t="shared" si="22"/>
        <v>43</v>
      </c>
      <c r="Q12" s="118">
        <f t="shared" si="18"/>
        <v>1.2430000000000021</v>
      </c>
      <c r="R12" s="119">
        <f t="shared" si="19"/>
        <v>102.8906976744186</v>
      </c>
      <c r="S12" s="119">
        <f t="shared" si="23"/>
        <v>51.445348837209302</v>
      </c>
      <c r="T12" s="177">
        <v>31.804000000000006</v>
      </c>
      <c r="U12" s="118">
        <f t="shared" si="20"/>
        <v>12.438999999999997</v>
      </c>
      <c r="V12" s="119">
        <f>F12/T12*100</f>
        <v>139.11143252421076</v>
      </c>
      <c r="AB12" s="119">
        <v>105.6</v>
      </c>
    </row>
    <row r="13" spans="1:37" s="79" customFormat="1" ht="37.5" x14ac:dyDescent="0.25">
      <c r="A13" s="76" t="s">
        <v>146</v>
      </c>
      <c r="B13" s="154" t="s">
        <v>138</v>
      </c>
      <c r="C13" s="64" t="s">
        <v>137</v>
      </c>
      <c r="D13" s="116">
        <v>215</v>
      </c>
      <c r="E13" s="116">
        <f t="shared" si="21"/>
        <v>215</v>
      </c>
      <c r="F13" s="177">
        <v>74.039000000000001</v>
      </c>
      <c r="G13" s="116">
        <v>0.40400000000000003</v>
      </c>
      <c r="H13" s="116">
        <v>63.634999999999998</v>
      </c>
      <c r="I13" s="116">
        <v>0</v>
      </c>
      <c r="J13" s="116">
        <v>0</v>
      </c>
      <c r="K13" s="116">
        <v>10</v>
      </c>
      <c r="L13" s="116">
        <v>0</v>
      </c>
      <c r="M13" s="117">
        <v>74</v>
      </c>
      <c r="N13" s="118">
        <f t="shared" si="17"/>
        <v>3.9000000000001478E-2</v>
      </c>
      <c r="O13" s="119">
        <f>F13/M13*100</f>
        <v>100.0527027027027</v>
      </c>
      <c r="P13" s="118">
        <f t="shared" si="22"/>
        <v>107.5</v>
      </c>
      <c r="Q13" s="118">
        <f t="shared" si="18"/>
        <v>-33.460999999999999</v>
      </c>
      <c r="R13" s="119">
        <f t="shared" si="19"/>
        <v>68.873488372093021</v>
      </c>
      <c r="S13" s="119">
        <f t="shared" si="23"/>
        <v>34.436744186046511</v>
      </c>
      <c r="T13" s="177">
        <v>100.929</v>
      </c>
      <c r="U13" s="118">
        <f t="shared" si="20"/>
        <v>-26.89</v>
      </c>
      <c r="V13" s="119">
        <f>F13/T13*100</f>
        <v>73.357508743770367</v>
      </c>
      <c r="AB13" s="119">
        <v>101</v>
      </c>
    </row>
    <row r="14" spans="1:37" s="75" customFormat="1" ht="23.25" x14ac:dyDescent="0.25">
      <c r="A14" s="71">
        <v>4</v>
      </c>
      <c r="B14" s="155" t="s">
        <v>88</v>
      </c>
      <c r="C14" s="97" t="s">
        <v>87</v>
      </c>
      <c r="D14" s="112">
        <f>SUM(D15:D17)</f>
        <v>283000</v>
      </c>
      <c r="E14" s="112">
        <f t="shared" si="21"/>
        <v>283000</v>
      </c>
      <c r="F14" s="176">
        <v>91997.074999999997</v>
      </c>
      <c r="G14" s="112">
        <f t="shared" ref="G14:M14" si="30">SUM(G15:G17)</f>
        <v>13827.143</v>
      </c>
      <c r="H14" s="112">
        <f t="shared" ref="H14:K14" si="31">SUM(H15:H17)</f>
        <v>7447.0510000000004</v>
      </c>
      <c r="I14" s="112">
        <f t="shared" si="31"/>
        <v>25460.975999999999</v>
      </c>
      <c r="J14" s="112">
        <f t="shared" si="31"/>
        <v>6591.6589999999997</v>
      </c>
      <c r="K14" s="112">
        <f t="shared" si="31"/>
        <v>16293.985000000001</v>
      </c>
      <c r="L14" s="112">
        <f t="shared" si="30"/>
        <v>22376.260999999999</v>
      </c>
      <c r="M14" s="113">
        <f t="shared" si="30"/>
        <v>82280.298999999999</v>
      </c>
      <c r="N14" s="114">
        <f t="shared" si="17"/>
        <v>9716.775999999998</v>
      </c>
      <c r="O14" s="115">
        <f>F14/M14*100</f>
        <v>111.80935912738965</v>
      </c>
      <c r="P14" s="114">
        <f t="shared" si="22"/>
        <v>141500</v>
      </c>
      <c r="Q14" s="114">
        <f t="shared" si="18"/>
        <v>-49502.925000000003</v>
      </c>
      <c r="R14" s="115">
        <f t="shared" si="19"/>
        <v>65.015600706713784</v>
      </c>
      <c r="S14" s="115">
        <f t="shared" si="23"/>
        <v>32.507800353356892</v>
      </c>
      <c r="T14" s="176">
        <f t="shared" ref="T14" si="32">SUM(T15:T17)</f>
        <v>111407.333</v>
      </c>
      <c r="U14" s="114">
        <f t="shared" si="20"/>
        <v>-19410.258000000002</v>
      </c>
      <c r="V14" s="115">
        <f>F14/T14*100</f>
        <v>82.57721688750955</v>
      </c>
      <c r="AB14" s="115">
        <v>106.1</v>
      </c>
    </row>
    <row r="15" spans="1:37" s="79" customFormat="1" ht="37.5" x14ac:dyDescent="0.25">
      <c r="A15" s="76" t="s">
        <v>121</v>
      </c>
      <c r="B15" s="154" t="s">
        <v>93</v>
      </c>
      <c r="C15" s="64" t="s">
        <v>85</v>
      </c>
      <c r="D15" s="116">
        <v>32000</v>
      </c>
      <c r="E15" s="116">
        <f t="shared" si="21"/>
        <v>32000</v>
      </c>
      <c r="F15" s="177">
        <v>4231</v>
      </c>
      <c r="G15" s="116">
        <v>0</v>
      </c>
      <c r="H15" s="116">
        <v>0</v>
      </c>
      <c r="I15" s="116">
        <v>4216.6000000000004</v>
      </c>
      <c r="J15" s="116">
        <v>8.0489999999999995</v>
      </c>
      <c r="K15" s="116">
        <v>2.7320000000000002</v>
      </c>
      <c r="L15" s="116">
        <v>3.6190000000000002</v>
      </c>
      <c r="M15" s="117">
        <v>4229</v>
      </c>
      <c r="N15" s="118">
        <f t="shared" si="17"/>
        <v>2</v>
      </c>
      <c r="O15" s="119">
        <f t="shared" ref="O15:O26" si="33">F15/M15*100</f>
        <v>100.04729250413808</v>
      </c>
      <c r="P15" s="118">
        <f t="shared" si="22"/>
        <v>16000</v>
      </c>
      <c r="Q15" s="118">
        <f t="shared" si="18"/>
        <v>-11769</v>
      </c>
      <c r="R15" s="119">
        <f t="shared" si="19"/>
        <v>26.443749999999998</v>
      </c>
      <c r="S15" s="119">
        <f t="shared" si="23"/>
        <v>13.221874999999999</v>
      </c>
      <c r="T15" s="177">
        <v>13356.534</v>
      </c>
      <c r="U15" s="118">
        <f t="shared" si="20"/>
        <v>-9125.5339999999997</v>
      </c>
      <c r="V15" s="119">
        <f t="shared" ref="V15:V24" si="34">F15/T15*100</f>
        <v>31.677379775321953</v>
      </c>
      <c r="W15" s="77">
        <f>T15+T16</f>
        <v>58717.851999999999</v>
      </c>
      <c r="X15" s="77">
        <f>F15+F16</f>
        <v>18560.650000000001</v>
      </c>
      <c r="Y15" s="77">
        <f>X15-W15</f>
        <v>-40157.201999999997</v>
      </c>
      <c r="Z15" s="79">
        <v>-29512.880000000001</v>
      </c>
      <c r="AB15" s="119">
        <v>104.4</v>
      </c>
    </row>
    <row r="16" spans="1:37" s="79" customFormat="1" ht="37.5" x14ac:dyDescent="0.25">
      <c r="A16" s="76" t="s">
        <v>122</v>
      </c>
      <c r="B16" s="154" t="s">
        <v>94</v>
      </c>
      <c r="C16" s="64" t="s">
        <v>86</v>
      </c>
      <c r="D16" s="116">
        <v>106000</v>
      </c>
      <c r="E16" s="116">
        <f t="shared" si="21"/>
        <v>106000</v>
      </c>
      <c r="F16" s="177">
        <v>14329.650000000001</v>
      </c>
      <c r="G16" s="116">
        <v>0</v>
      </c>
      <c r="H16" s="116">
        <v>0</v>
      </c>
      <c r="I16" s="116">
        <v>14207.163</v>
      </c>
      <c r="J16" s="116">
        <v>30.79</v>
      </c>
      <c r="K16" s="116">
        <v>45.231999999999999</v>
      </c>
      <c r="L16" s="116">
        <v>46.465000000000003</v>
      </c>
      <c r="M16" s="117">
        <v>14315</v>
      </c>
      <c r="N16" s="118">
        <f t="shared" si="17"/>
        <v>14.650000000001455</v>
      </c>
      <c r="O16" s="119">
        <f t="shared" si="33"/>
        <v>100.1023402025847</v>
      </c>
      <c r="P16" s="118">
        <f t="shared" si="22"/>
        <v>53000</v>
      </c>
      <c r="Q16" s="118">
        <f t="shared" si="18"/>
        <v>-38670.35</v>
      </c>
      <c r="R16" s="119">
        <f t="shared" si="19"/>
        <v>27.037075471698113</v>
      </c>
      <c r="S16" s="119">
        <f t="shared" si="23"/>
        <v>13.518537735849057</v>
      </c>
      <c r="T16" s="177">
        <v>45361.317999999999</v>
      </c>
      <c r="U16" s="118">
        <f t="shared" si="20"/>
        <v>-31031.667999999998</v>
      </c>
      <c r="V16" s="119">
        <f t="shared" si="34"/>
        <v>31.590021259964274</v>
      </c>
      <c r="AB16" s="119">
        <v>101.8</v>
      </c>
    </row>
    <row r="17" spans="1:28" s="79" customFormat="1" ht="37.5" x14ac:dyDescent="0.25">
      <c r="A17" s="76" t="s">
        <v>123</v>
      </c>
      <c r="B17" s="154" t="s">
        <v>95</v>
      </c>
      <c r="C17" s="64" t="s">
        <v>55</v>
      </c>
      <c r="D17" s="116">
        <v>145000</v>
      </c>
      <c r="E17" s="116">
        <f t="shared" si="21"/>
        <v>145000</v>
      </c>
      <c r="F17" s="177">
        <v>73436.425000000003</v>
      </c>
      <c r="G17" s="116">
        <v>13827.143</v>
      </c>
      <c r="H17" s="116">
        <v>7447.0510000000004</v>
      </c>
      <c r="I17" s="116">
        <v>7037.2129999999997</v>
      </c>
      <c r="J17" s="116">
        <v>6552.82</v>
      </c>
      <c r="K17" s="116">
        <v>16246.021000000001</v>
      </c>
      <c r="L17" s="116">
        <v>22326.177</v>
      </c>
      <c r="M17" s="117">
        <v>63736.298999999999</v>
      </c>
      <c r="N17" s="118">
        <f t="shared" si="17"/>
        <v>9700.1260000000038</v>
      </c>
      <c r="O17" s="119">
        <f t="shared" si="33"/>
        <v>115.21915478650557</v>
      </c>
      <c r="P17" s="118">
        <f t="shared" si="22"/>
        <v>72500</v>
      </c>
      <c r="Q17" s="118">
        <f t="shared" si="18"/>
        <v>936.42500000000291</v>
      </c>
      <c r="R17" s="119">
        <f t="shared" si="19"/>
        <v>101.29162068965518</v>
      </c>
      <c r="S17" s="119">
        <f t="shared" si="23"/>
        <v>50.645810344827588</v>
      </c>
      <c r="T17" s="177">
        <v>52689.481</v>
      </c>
      <c r="U17" s="118">
        <f t="shared" si="20"/>
        <v>20746.944000000003</v>
      </c>
      <c r="V17" s="119">
        <f t="shared" si="34"/>
        <v>139.37587466462233</v>
      </c>
      <c r="AB17" s="119">
        <v>109.9</v>
      </c>
    </row>
    <row r="18" spans="1:28" s="101" customFormat="1" ht="34.5" customHeight="1" x14ac:dyDescent="0.25">
      <c r="A18" s="71">
        <v>5</v>
      </c>
      <c r="B18" s="153" t="s">
        <v>153</v>
      </c>
      <c r="C18" s="72" t="s">
        <v>154</v>
      </c>
      <c r="D18" s="112">
        <v>0</v>
      </c>
      <c r="E18" s="112">
        <f t="shared" si="21"/>
        <v>0</v>
      </c>
      <c r="F18" s="176">
        <v>6.7789999999999999</v>
      </c>
      <c r="G18" s="112">
        <v>0</v>
      </c>
      <c r="H18" s="112">
        <v>4.5270000000000001</v>
      </c>
      <c r="I18" s="112">
        <v>2.2519999999999998</v>
      </c>
      <c r="J18" s="112">
        <v>0</v>
      </c>
      <c r="K18" s="112">
        <v>0</v>
      </c>
      <c r="L18" s="112">
        <v>0</v>
      </c>
      <c r="M18" s="113">
        <v>0</v>
      </c>
      <c r="N18" s="114">
        <f t="shared" si="17"/>
        <v>6.7789999999999999</v>
      </c>
      <c r="O18" s="115"/>
      <c r="P18" s="114">
        <f t="shared" si="22"/>
        <v>0</v>
      </c>
      <c r="Q18" s="114">
        <f t="shared" si="18"/>
        <v>6.7789999999999999</v>
      </c>
      <c r="R18" s="115"/>
      <c r="S18" s="115"/>
      <c r="T18" s="176">
        <v>0</v>
      </c>
      <c r="U18" s="114">
        <f t="shared" si="20"/>
        <v>6.7789999999999999</v>
      </c>
      <c r="V18" s="115"/>
      <c r="W18" s="134"/>
      <c r="X18" s="134"/>
      <c r="AB18" s="115"/>
    </row>
    <row r="19" spans="1:28" s="101" customFormat="1" ht="37.5" x14ac:dyDescent="0.25">
      <c r="A19" s="71">
        <v>6</v>
      </c>
      <c r="B19" s="153" t="s">
        <v>150</v>
      </c>
      <c r="C19" s="72" t="s">
        <v>37</v>
      </c>
      <c r="D19" s="112">
        <f>D20+D21+D22+D24+D23</f>
        <v>1148486.2349999999</v>
      </c>
      <c r="E19" s="112">
        <f t="shared" si="21"/>
        <v>1148486.2349999999</v>
      </c>
      <c r="F19" s="176">
        <v>522073.473</v>
      </c>
      <c r="G19" s="112">
        <f t="shared" ref="G19:M19" si="35">G20+G21+G22+G24+G23</f>
        <v>103730.772</v>
      </c>
      <c r="H19" s="112">
        <f t="shared" ref="H19:L19" si="36">H20+H21+H22+H24+H23</f>
        <v>124787.39500000002</v>
      </c>
      <c r="I19" s="112">
        <f t="shared" si="36"/>
        <v>38829.207000000009</v>
      </c>
      <c r="J19" s="112">
        <f t="shared" si="36"/>
        <v>98595.522000000012</v>
      </c>
      <c r="K19" s="112">
        <f t="shared" si="36"/>
        <v>100774.00299999998</v>
      </c>
      <c r="L19" s="112">
        <f t="shared" si="36"/>
        <v>55356.574000000001</v>
      </c>
      <c r="M19" s="113">
        <f t="shared" si="35"/>
        <v>510932.7</v>
      </c>
      <c r="N19" s="114">
        <f t="shared" si="17"/>
        <v>11140.772999999986</v>
      </c>
      <c r="O19" s="115">
        <f t="shared" si="33"/>
        <v>102.18047758540409</v>
      </c>
      <c r="P19" s="114">
        <f t="shared" si="22"/>
        <v>574243.11749999993</v>
      </c>
      <c r="Q19" s="114">
        <f t="shared" si="18"/>
        <v>-52169.644499999937</v>
      </c>
      <c r="R19" s="115">
        <f t="shared" si="19"/>
        <v>90.915059682887716</v>
      </c>
      <c r="S19" s="115">
        <f t="shared" si="23"/>
        <v>45.457529841443858</v>
      </c>
      <c r="T19" s="176">
        <f t="shared" ref="T19" si="37">T20+T21+T22+T24+T23</f>
        <v>461763.33400000003</v>
      </c>
      <c r="U19" s="114">
        <f t="shared" si="20"/>
        <v>60310.138999999966</v>
      </c>
      <c r="V19" s="115">
        <f t="shared" si="34"/>
        <v>113.06083323627422</v>
      </c>
      <c r="W19" s="134">
        <f>T21+T22+T20</f>
        <v>164201.83799999999</v>
      </c>
      <c r="X19" s="134">
        <f>F20+F21+F22</f>
        <v>160061.66300000003</v>
      </c>
      <c r="AB19" s="115">
        <v>118.2</v>
      </c>
    </row>
    <row r="20" spans="1:28" s="103" customFormat="1" ht="37.5" x14ac:dyDescent="0.25">
      <c r="A20" s="102" t="s">
        <v>133</v>
      </c>
      <c r="B20" s="156" t="s">
        <v>56</v>
      </c>
      <c r="C20" s="195" t="s">
        <v>43</v>
      </c>
      <c r="D20" s="116">
        <v>116436.235</v>
      </c>
      <c r="E20" s="116">
        <f t="shared" si="21"/>
        <v>116436.235</v>
      </c>
      <c r="F20" s="177">
        <v>45898.431000000004</v>
      </c>
      <c r="G20" s="116">
        <v>13619.357</v>
      </c>
      <c r="H20" s="116">
        <v>3898.9380000000001</v>
      </c>
      <c r="I20" s="116">
        <v>2387.5859999999998</v>
      </c>
      <c r="J20" s="116">
        <v>14990.857</v>
      </c>
      <c r="K20" s="116">
        <v>6389.7920000000004</v>
      </c>
      <c r="L20" s="116">
        <v>4611.902</v>
      </c>
      <c r="M20" s="117">
        <v>44646</v>
      </c>
      <c r="N20" s="118">
        <f t="shared" si="17"/>
        <v>1252.4310000000041</v>
      </c>
      <c r="O20" s="119">
        <f t="shared" si="33"/>
        <v>102.80524795054428</v>
      </c>
      <c r="P20" s="132">
        <f t="shared" si="22"/>
        <v>58218.117499999993</v>
      </c>
      <c r="Q20" s="118">
        <f t="shared" si="18"/>
        <v>-12319.686499999989</v>
      </c>
      <c r="R20" s="119">
        <f t="shared" si="19"/>
        <v>78.838741221751135</v>
      </c>
      <c r="S20" s="119">
        <f t="shared" si="23"/>
        <v>39.419370610875561</v>
      </c>
      <c r="T20" s="177">
        <v>45266.736999999994</v>
      </c>
      <c r="U20" s="118">
        <f t="shared" si="20"/>
        <v>631.69400000001042</v>
      </c>
      <c r="V20" s="119">
        <f t="shared" si="34"/>
        <v>101.39549267710639</v>
      </c>
      <c r="AB20" s="119">
        <v>118.1</v>
      </c>
    </row>
    <row r="21" spans="1:28" s="103" customFormat="1" ht="23.25" x14ac:dyDescent="0.25">
      <c r="A21" s="76" t="s">
        <v>134</v>
      </c>
      <c r="B21" s="156" t="s">
        <v>7</v>
      </c>
      <c r="C21" s="195"/>
      <c r="D21" s="116">
        <v>271200</v>
      </c>
      <c r="E21" s="116">
        <f t="shared" si="21"/>
        <v>271200</v>
      </c>
      <c r="F21" s="177">
        <v>113539.255</v>
      </c>
      <c r="G21" s="116">
        <v>16688.975999999999</v>
      </c>
      <c r="H21" s="116">
        <v>18871.809000000001</v>
      </c>
      <c r="I21" s="116">
        <v>17285.559000000001</v>
      </c>
      <c r="J21" s="116">
        <v>17840.13</v>
      </c>
      <c r="K21" s="116">
        <v>22009.425999999999</v>
      </c>
      <c r="L21" s="116">
        <v>20843.353999999999</v>
      </c>
      <c r="M21" s="117">
        <v>109505</v>
      </c>
      <c r="N21" s="118">
        <f t="shared" si="17"/>
        <v>4034.2550000000047</v>
      </c>
      <c r="O21" s="119">
        <f t="shared" si="33"/>
        <v>103.68408291858819</v>
      </c>
      <c r="P21" s="114">
        <f t="shared" si="22"/>
        <v>135600</v>
      </c>
      <c r="Q21" s="118">
        <f t="shared" si="18"/>
        <v>-22060.744999999995</v>
      </c>
      <c r="R21" s="119">
        <f t="shared" si="19"/>
        <v>83.731014011799402</v>
      </c>
      <c r="S21" s="119">
        <f t="shared" si="23"/>
        <v>41.865507005899701</v>
      </c>
      <c r="T21" s="177">
        <v>117997.95699999999</v>
      </c>
      <c r="U21" s="118">
        <f t="shared" si="20"/>
        <v>-4458.7019999999902</v>
      </c>
      <c r="V21" s="119">
        <f t="shared" si="34"/>
        <v>96.221373561577863</v>
      </c>
      <c r="AB21" s="119">
        <v>117.1</v>
      </c>
    </row>
    <row r="22" spans="1:28" s="103" customFormat="1" ht="23.25" x14ac:dyDescent="0.25">
      <c r="A22" s="76" t="s">
        <v>135</v>
      </c>
      <c r="B22" s="156" t="s">
        <v>57</v>
      </c>
      <c r="C22" s="195"/>
      <c r="D22" s="116">
        <v>1200</v>
      </c>
      <c r="E22" s="116">
        <f t="shared" si="21"/>
        <v>1200</v>
      </c>
      <c r="F22" s="177">
        <v>623.97699999999998</v>
      </c>
      <c r="G22" s="116">
        <v>247.57300000000001</v>
      </c>
      <c r="H22" s="116">
        <v>103.74299999999999</v>
      </c>
      <c r="I22" s="116">
        <v>29.167000000000002</v>
      </c>
      <c r="J22" s="116">
        <v>161.82400000000001</v>
      </c>
      <c r="K22" s="116">
        <v>44.17</v>
      </c>
      <c r="L22" s="116">
        <v>37.5</v>
      </c>
      <c r="M22" s="117">
        <v>604.79999999999995</v>
      </c>
      <c r="N22" s="118">
        <f t="shared" si="17"/>
        <v>19.177000000000021</v>
      </c>
      <c r="O22" s="119">
        <f t="shared" si="33"/>
        <v>103.17080026455028</v>
      </c>
      <c r="P22" s="114">
        <f t="shared" si="22"/>
        <v>600</v>
      </c>
      <c r="Q22" s="118">
        <f t="shared" si="18"/>
        <v>23.976999999999975</v>
      </c>
      <c r="R22" s="119">
        <f t="shared" si="19"/>
        <v>103.99616666666667</v>
      </c>
      <c r="S22" s="119">
        <f t="shared" si="23"/>
        <v>51.998083333333334</v>
      </c>
      <c r="T22" s="177">
        <v>937.14400000000012</v>
      </c>
      <c r="U22" s="118">
        <f t="shared" si="20"/>
        <v>-313.16700000000014</v>
      </c>
      <c r="V22" s="119">
        <f t="shared" si="34"/>
        <v>66.582830386792196</v>
      </c>
      <c r="W22" s="119">
        <f>100-V22</f>
        <v>33.417169613207804</v>
      </c>
      <c r="X22" s="104"/>
      <c r="Y22" s="105" t="e">
        <f>F20/#REF!*100</f>
        <v>#REF!</v>
      </c>
      <c r="AB22" s="119">
        <v>73</v>
      </c>
    </row>
    <row r="23" spans="1:28" s="107" customFormat="1" ht="23.25" x14ac:dyDescent="0.25">
      <c r="A23" s="76" t="s">
        <v>136</v>
      </c>
      <c r="B23" s="156" t="s">
        <v>39</v>
      </c>
      <c r="C23" s="106" t="s">
        <v>38</v>
      </c>
      <c r="D23" s="116">
        <v>2050</v>
      </c>
      <c r="E23" s="116">
        <f t="shared" si="21"/>
        <v>2050</v>
      </c>
      <c r="F23" s="177">
        <v>1142.2550000000001</v>
      </c>
      <c r="G23" s="116">
        <v>94</v>
      </c>
      <c r="H23" s="116">
        <v>159.066</v>
      </c>
      <c r="I23" s="116">
        <v>113.41</v>
      </c>
      <c r="J23" s="116">
        <v>255.81100000000001</v>
      </c>
      <c r="K23" s="116">
        <v>385.988</v>
      </c>
      <c r="L23" s="116">
        <v>133.97999999999999</v>
      </c>
      <c r="M23" s="117">
        <v>1133.9000000000001</v>
      </c>
      <c r="N23" s="118">
        <f t="shared" si="17"/>
        <v>8.3550000000000182</v>
      </c>
      <c r="O23" s="119">
        <f t="shared" si="33"/>
        <v>100.73683746362114</v>
      </c>
      <c r="P23" s="114">
        <f t="shared" si="22"/>
        <v>1025</v>
      </c>
      <c r="Q23" s="118">
        <f t="shared" si="18"/>
        <v>117.25500000000011</v>
      </c>
      <c r="R23" s="119">
        <f t="shared" si="19"/>
        <v>111.43951219512196</v>
      </c>
      <c r="S23" s="119">
        <f t="shared" si="23"/>
        <v>55.719756097560982</v>
      </c>
      <c r="T23" s="177">
        <v>582.48700000000008</v>
      </c>
      <c r="U23" s="116">
        <f t="shared" si="20"/>
        <v>559.76800000000003</v>
      </c>
      <c r="V23" s="119">
        <f t="shared" si="34"/>
        <v>196.09965544295409</v>
      </c>
      <c r="AB23" s="119">
        <v>106.6</v>
      </c>
    </row>
    <row r="24" spans="1:28" s="103" customFormat="1" ht="23.25" x14ac:dyDescent="0.25">
      <c r="A24" s="76" t="s">
        <v>163</v>
      </c>
      <c r="B24" s="156" t="s">
        <v>32</v>
      </c>
      <c r="C24" s="162" t="s">
        <v>33</v>
      </c>
      <c r="D24" s="116">
        <v>757600</v>
      </c>
      <c r="E24" s="116">
        <f t="shared" si="21"/>
        <v>757600</v>
      </c>
      <c r="F24" s="177">
        <v>360869.55499999999</v>
      </c>
      <c r="G24" s="116">
        <v>73080.865999999995</v>
      </c>
      <c r="H24" s="116">
        <v>101753.83900000001</v>
      </c>
      <c r="I24" s="116">
        <v>19013.485000000001</v>
      </c>
      <c r="J24" s="116">
        <v>65346.9</v>
      </c>
      <c r="K24" s="116">
        <v>71944.626999999993</v>
      </c>
      <c r="L24" s="116">
        <v>29729.838</v>
      </c>
      <c r="M24" s="117">
        <v>355043</v>
      </c>
      <c r="N24" s="118">
        <f t="shared" si="17"/>
        <v>5826.554999999993</v>
      </c>
      <c r="O24" s="119">
        <f t="shared" si="33"/>
        <v>101.64108431936414</v>
      </c>
      <c r="P24" s="114">
        <f t="shared" si="22"/>
        <v>378800</v>
      </c>
      <c r="Q24" s="118">
        <f t="shared" si="18"/>
        <v>-17930.445000000007</v>
      </c>
      <c r="R24" s="119">
        <f t="shared" si="19"/>
        <v>95.266513991552273</v>
      </c>
      <c r="S24" s="119">
        <f t="shared" si="23"/>
        <v>47.633256995776136</v>
      </c>
      <c r="T24" s="177">
        <v>296979.00900000002</v>
      </c>
      <c r="U24" s="118">
        <f t="shared" si="20"/>
        <v>63890.545999999973</v>
      </c>
      <c r="V24" s="119">
        <f t="shared" si="34"/>
        <v>121.513488854022</v>
      </c>
      <c r="X24" s="104"/>
      <c r="Y24" s="105" t="e">
        <f>F24/#REF!*100</f>
        <v>#REF!</v>
      </c>
      <c r="AB24" s="119">
        <v>118.8</v>
      </c>
    </row>
    <row r="25" spans="1:28" s="75" customFormat="1" ht="56.25" x14ac:dyDescent="0.25">
      <c r="A25" s="71">
        <v>7</v>
      </c>
      <c r="B25" s="153" t="s">
        <v>45</v>
      </c>
      <c r="C25" s="72" t="s">
        <v>17</v>
      </c>
      <c r="D25" s="112">
        <v>950</v>
      </c>
      <c r="E25" s="112">
        <f t="shared" si="21"/>
        <v>950</v>
      </c>
      <c r="F25" s="176">
        <v>247.447</v>
      </c>
      <c r="G25" s="112">
        <v>1.284</v>
      </c>
      <c r="H25" s="112">
        <v>40.808</v>
      </c>
      <c r="I25" s="112">
        <v>10.311</v>
      </c>
      <c r="J25" s="112">
        <v>33.229999999999997</v>
      </c>
      <c r="K25" s="112">
        <v>104.869</v>
      </c>
      <c r="L25" s="112">
        <v>56.945</v>
      </c>
      <c r="M25" s="113">
        <v>240</v>
      </c>
      <c r="N25" s="114">
        <f t="shared" si="17"/>
        <v>7.4470000000000027</v>
      </c>
      <c r="O25" s="115">
        <f t="shared" si="33"/>
        <v>103.10291666666667</v>
      </c>
      <c r="P25" s="114">
        <f t="shared" si="22"/>
        <v>475</v>
      </c>
      <c r="Q25" s="114">
        <f t="shared" si="18"/>
        <v>-227.553</v>
      </c>
      <c r="R25" s="115">
        <f t="shared" si="19"/>
        <v>52.0941052631579</v>
      </c>
      <c r="S25" s="115">
        <f t="shared" si="23"/>
        <v>26.04705263157895</v>
      </c>
      <c r="T25" s="176">
        <v>223.52699999999999</v>
      </c>
      <c r="U25" s="114">
        <f t="shared" si="20"/>
        <v>23.920000000000016</v>
      </c>
      <c r="V25" s="115">
        <f>F25/T25*100</f>
        <v>110.70116809155046</v>
      </c>
      <c r="W25" s="74">
        <f>100-V25</f>
        <v>-10.701168091550457</v>
      </c>
      <c r="AB25" s="115">
        <v>102.7</v>
      </c>
    </row>
    <row r="26" spans="1:28" s="75" customFormat="1" ht="37.5" x14ac:dyDescent="0.25">
      <c r="A26" s="71">
        <f t="shared" ref="A26:A33" si="38">A25+1</f>
        <v>8</v>
      </c>
      <c r="B26" s="153" t="s">
        <v>69</v>
      </c>
      <c r="C26" s="72" t="s">
        <v>68</v>
      </c>
      <c r="D26" s="112">
        <v>12000</v>
      </c>
      <c r="E26" s="112">
        <f t="shared" si="21"/>
        <v>12000</v>
      </c>
      <c r="F26" s="176">
        <v>6660.4740000000002</v>
      </c>
      <c r="G26" s="112">
        <v>501.13</v>
      </c>
      <c r="H26" s="112">
        <v>1239.6949999999999</v>
      </c>
      <c r="I26" s="112">
        <v>1250.075</v>
      </c>
      <c r="J26" s="112">
        <v>1209.75</v>
      </c>
      <c r="K26" s="112">
        <v>1250.0740000000001</v>
      </c>
      <c r="L26" s="112">
        <v>1209.75</v>
      </c>
      <c r="M26" s="113">
        <v>6450</v>
      </c>
      <c r="N26" s="114">
        <f t="shared" si="17"/>
        <v>210.47400000000016</v>
      </c>
      <c r="O26" s="115">
        <f t="shared" si="33"/>
        <v>103.26316279069768</v>
      </c>
      <c r="P26" s="114">
        <f t="shared" si="22"/>
        <v>6000</v>
      </c>
      <c r="Q26" s="114">
        <f t="shared" si="18"/>
        <v>660.47400000000016</v>
      </c>
      <c r="R26" s="115">
        <f t="shared" si="19"/>
        <v>111.00790000000001</v>
      </c>
      <c r="S26" s="115">
        <f t="shared" si="23"/>
        <v>55.503950000000003</v>
      </c>
      <c r="T26" s="176">
        <v>7773.2940000000017</v>
      </c>
      <c r="U26" s="114">
        <f t="shared" si="20"/>
        <v>-1112.8200000000015</v>
      </c>
      <c r="V26" s="115">
        <f>F26/T26*100</f>
        <v>85.684061351596881</v>
      </c>
      <c r="AB26" s="115">
        <v>69.7</v>
      </c>
    </row>
    <row r="27" spans="1:28" s="75" customFormat="1" ht="23.25" x14ac:dyDescent="0.25">
      <c r="A27" s="71">
        <f t="shared" si="38"/>
        <v>9</v>
      </c>
      <c r="B27" s="153" t="s">
        <v>8</v>
      </c>
      <c r="C27" s="72" t="s">
        <v>18</v>
      </c>
      <c r="D27" s="112">
        <v>6.1</v>
      </c>
      <c r="E27" s="112">
        <v>1</v>
      </c>
      <c r="F27" s="176">
        <v>7.84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7.84</v>
      </c>
      <c r="M27" s="113">
        <v>1</v>
      </c>
      <c r="N27" s="114">
        <f t="shared" si="17"/>
        <v>6.84</v>
      </c>
      <c r="O27" s="115">
        <f t="shared" ref="O27:O39" si="39">F27/M27*100</f>
        <v>784</v>
      </c>
      <c r="P27" s="114">
        <f t="shared" si="22"/>
        <v>0.5</v>
      </c>
      <c r="Q27" s="114">
        <f t="shared" si="18"/>
        <v>7.34</v>
      </c>
      <c r="R27" s="115">
        <f t="shared" si="19"/>
        <v>1568</v>
      </c>
      <c r="S27" s="115">
        <f t="shared" si="23"/>
        <v>784</v>
      </c>
      <c r="T27" s="176">
        <v>6.0410000000000004</v>
      </c>
      <c r="U27" s="114">
        <f t="shared" si="20"/>
        <v>1.7989999999999995</v>
      </c>
      <c r="V27" s="115"/>
      <c r="AB27" s="115">
        <v>101</v>
      </c>
    </row>
    <row r="28" spans="1:28" s="75" customFormat="1" ht="93.75" x14ac:dyDescent="0.25">
      <c r="A28" s="71">
        <f t="shared" si="38"/>
        <v>10</v>
      </c>
      <c r="B28" s="157" t="s">
        <v>89</v>
      </c>
      <c r="C28" s="98" t="s">
        <v>90</v>
      </c>
      <c r="D28" s="112">
        <v>0.05</v>
      </c>
      <c r="E28" s="112">
        <v>5.15</v>
      </c>
      <c r="F28" s="176">
        <v>5.1849999999999996</v>
      </c>
      <c r="G28" s="112">
        <v>5.1849999999999996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3">
        <v>5.15</v>
      </c>
      <c r="N28" s="114">
        <f t="shared" si="17"/>
        <v>3.4999999999999254E-2</v>
      </c>
      <c r="O28" s="115">
        <f t="shared" si="39"/>
        <v>100.67961165048543</v>
      </c>
      <c r="P28" s="114">
        <f t="shared" si="22"/>
        <v>2.5750000000000002</v>
      </c>
      <c r="Q28" s="114">
        <f t="shared" si="18"/>
        <v>2.6099999999999994</v>
      </c>
      <c r="R28" s="115">
        <f t="shared" si="19"/>
        <v>201.35922330097085</v>
      </c>
      <c r="S28" s="115">
        <f t="shared" si="23"/>
        <v>100.67961165048543</v>
      </c>
      <c r="T28" s="176">
        <v>0</v>
      </c>
      <c r="U28" s="114">
        <f t="shared" si="20"/>
        <v>5.1849999999999996</v>
      </c>
      <c r="V28" s="115"/>
      <c r="AB28" s="115">
        <v>1</v>
      </c>
    </row>
    <row r="29" spans="1:28" s="75" customFormat="1" ht="23.25" x14ac:dyDescent="0.25">
      <c r="A29" s="71">
        <f t="shared" si="38"/>
        <v>11</v>
      </c>
      <c r="B29" s="158" t="s">
        <v>29</v>
      </c>
      <c r="C29" s="72" t="s">
        <v>24</v>
      </c>
      <c r="D29" s="112">
        <v>14300</v>
      </c>
      <c r="E29" s="112">
        <f t="shared" si="21"/>
        <v>14300</v>
      </c>
      <c r="F29" s="176">
        <v>3874.7460000000001</v>
      </c>
      <c r="G29" s="112">
        <v>1031.287</v>
      </c>
      <c r="H29" s="112">
        <v>1145.06</v>
      </c>
      <c r="I29" s="112">
        <v>101.938</v>
      </c>
      <c r="J29" s="112">
        <v>351.33600000000001</v>
      </c>
      <c r="K29" s="112">
        <v>604.69399999999996</v>
      </c>
      <c r="L29" s="112">
        <v>640.43100000000004</v>
      </c>
      <c r="M29" s="113">
        <v>3735</v>
      </c>
      <c r="N29" s="114">
        <f t="shared" si="17"/>
        <v>139.74600000000009</v>
      </c>
      <c r="O29" s="115">
        <f t="shared" si="39"/>
        <v>103.74152610441767</v>
      </c>
      <c r="P29" s="114">
        <f t="shared" si="22"/>
        <v>7150</v>
      </c>
      <c r="Q29" s="114">
        <f t="shared" si="18"/>
        <v>-3275.2539999999999</v>
      </c>
      <c r="R29" s="115">
        <f t="shared" si="19"/>
        <v>54.192251748251749</v>
      </c>
      <c r="S29" s="115">
        <f t="shared" si="23"/>
        <v>27.096125874125875</v>
      </c>
      <c r="T29" s="176">
        <v>5425.1219999999994</v>
      </c>
      <c r="U29" s="114">
        <f t="shared" si="20"/>
        <v>-1550.3759999999993</v>
      </c>
      <c r="V29" s="115">
        <f t="shared" ref="V29:V39" si="40">F29/T29*100</f>
        <v>71.422283222386525</v>
      </c>
      <c r="W29" s="74">
        <f>L29-'[1]2021'!$I$29</f>
        <v>-253.53599999999994</v>
      </c>
      <c r="AB29" s="115">
        <v>104</v>
      </c>
    </row>
    <row r="30" spans="1:28" s="75" customFormat="1" ht="56.25" x14ac:dyDescent="0.25">
      <c r="A30" s="71">
        <f t="shared" si="38"/>
        <v>12</v>
      </c>
      <c r="B30" s="158" t="s">
        <v>79</v>
      </c>
      <c r="C30" s="72" t="s">
        <v>78</v>
      </c>
      <c r="D30" s="112">
        <v>560</v>
      </c>
      <c r="E30" s="112">
        <f t="shared" si="21"/>
        <v>560</v>
      </c>
      <c r="F30" s="176">
        <v>145.30199999999999</v>
      </c>
      <c r="G30" s="112">
        <v>79.635000000000005</v>
      </c>
      <c r="H30" s="112">
        <v>6.94</v>
      </c>
      <c r="I30" s="112">
        <v>0</v>
      </c>
      <c r="J30" s="112">
        <v>0</v>
      </c>
      <c r="K30" s="112">
        <v>15.282</v>
      </c>
      <c r="L30" s="112">
        <v>43.445</v>
      </c>
      <c r="M30" s="113">
        <v>145</v>
      </c>
      <c r="N30" s="114">
        <f t="shared" si="17"/>
        <v>0.3019999999999925</v>
      </c>
      <c r="O30" s="115">
        <f t="shared" si="39"/>
        <v>100.20827586206894</v>
      </c>
      <c r="P30" s="114">
        <f t="shared" si="22"/>
        <v>280</v>
      </c>
      <c r="Q30" s="114">
        <f t="shared" si="18"/>
        <v>-134.69800000000001</v>
      </c>
      <c r="R30" s="115">
        <f t="shared" si="19"/>
        <v>51.893571428571427</v>
      </c>
      <c r="S30" s="115">
        <f t="shared" si="23"/>
        <v>25.946785714285713</v>
      </c>
      <c r="T30" s="176">
        <v>195.51999999999998</v>
      </c>
      <c r="U30" s="114">
        <f t="shared" si="20"/>
        <v>-50.217999999999989</v>
      </c>
      <c r="V30" s="115">
        <f t="shared" si="40"/>
        <v>74.315671031096571</v>
      </c>
      <c r="AB30" s="115">
        <v>102.2</v>
      </c>
    </row>
    <row r="31" spans="1:28" s="75" customFormat="1" ht="23.25" x14ac:dyDescent="0.25">
      <c r="A31" s="71">
        <f t="shared" si="38"/>
        <v>13</v>
      </c>
      <c r="B31" s="158" t="s">
        <v>109</v>
      </c>
      <c r="C31" s="72" t="s">
        <v>110</v>
      </c>
      <c r="D31" s="112">
        <v>18563.54</v>
      </c>
      <c r="E31" s="112">
        <f t="shared" si="21"/>
        <v>18563.54</v>
      </c>
      <c r="F31" s="176">
        <v>8931.8679999999986</v>
      </c>
      <c r="G31" s="112">
        <v>1407.4690000000001</v>
      </c>
      <c r="H31" s="112">
        <v>1637.8979999999999</v>
      </c>
      <c r="I31" s="112">
        <v>1178.489</v>
      </c>
      <c r="J31" s="112">
        <v>1400.6790000000001</v>
      </c>
      <c r="K31" s="112">
        <v>1638.828</v>
      </c>
      <c r="L31" s="112">
        <v>1668.5050000000001</v>
      </c>
      <c r="M31" s="113">
        <v>8860</v>
      </c>
      <c r="N31" s="114">
        <f t="shared" si="17"/>
        <v>71.867999999998574</v>
      </c>
      <c r="O31" s="115">
        <f t="shared" si="39"/>
        <v>100.81115124153497</v>
      </c>
      <c r="P31" s="114">
        <f t="shared" si="22"/>
        <v>9281.77</v>
      </c>
      <c r="Q31" s="114">
        <f t="shared" si="18"/>
        <v>-349.90200000000186</v>
      </c>
      <c r="R31" s="115">
        <f t="shared" si="19"/>
        <v>96.230223330248407</v>
      </c>
      <c r="S31" s="115">
        <f t="shared" si="23"/>
        <v>48.115111665124203</v>
      </c>
      <c r="T31" s="176">
        <v>8616.5499999999993</v>
      </c>
      <c r="U31" s="114">
        <f t="shared" si="20"/>
        <v>315.3179999999993</v>
      </c>
      <c r="V31" s="115">
        <f t="shared" si="40"/>
        <v>103.65944606600088</v>
      </c>
      <c r="AB31" s="115">
        <v>104.3</v>
      </c>
    </row>
    <row r="32" spans="1:28" s="75" customFormat="1" ht="93.75" x14ac:dyDescent="0.25">
      <c r="A32" s="71">
        <f t="shared" si="38"/>
        <v>14</v>
      </c>
      <c r="B32" s="158" t="s">
        <v>147</v>
      </c>
      <c r="C32" s="72" t="s">
        <v>148</v>
      </c>
      <c r="D32" s="112">
        <v>35</v>
      </c>
      <c r="E32" s="112">
        <f t="shared" si="21"/>
        <v>35</v>
      </c>
      <c r="F32" s="176">
        <v>30.473999999999997</v>
      </c>
      <c r="G32" s="112">
        <v>8.39</v>
      </c>
      <c r="H32" s="112">
        <v>6.0720000000000001</v>
      </c>
      <c r="I32" s="112">
        <v>1.95</v>
      </c>
      <c r="J32" s="112">
        <v>1.95</v>
      </c>
      <c r="K32" s="112">
        <v>6.2619999999999996</v>
      </c>
      <c r="L32" s="112">
        <v>5.85</v>
      </c>
      <c r="M32" s="113">
        <v>30.4</v>
      </c>
      <c r="N32" s="114">
        <f t="shared" si="17"/>
        <v>7.3999999999998067E-2</v>
      </c>
      <c r="O32" s="115">
        <f t="shared" si="39"/>
        <v>100.24342105263158</v>
      </c>
      <c r="P32" s="114">
        <f t="shared" si="22"/>
        <v>17.5</v>
      </c>
      <c r="Q32" s="114">
        <f t="shared" ref="Q32" si="41">F32-P32</f>
        <v>12.973999999999997</v>
      </c>
      <c r="R32" s="115">
        <f>F32/P32*100</f>
        <v>174.13714285714283</v>
      </c>
      <c r="S32" s="115">
        <f t="shared" si="23"/>
        <v>87.068571428571417</v>
      </c>
      <c r="T32" s="176">
        <v>8.1999999999999993</v>
      </c>
      <c r="U32" s="114">
        <f t="shared" si="20"/>
        <v>22.273999999999997</v>
      </c>
      <c r="V32" s="115">
        <f t="shared" si="40"/>
        <v>371.63414634146341</v>
      </c>
      <c r="AB32" s="115">
        <v>94.6</v>
      </c>
    </row>
    <row r="33" spans="1:29" s="75" customFormat="1" ht="23.25" x14ac:dyDescent="0.25">
      <c r="A33" s="71">
        <f t="shared" si="38"/>
        <v>15</v>
      </c>
      <c r="B33" s="158" t="s">
        <v>81</v>
      </c>
      <c r="C33" s="72" t="s">
        <v>80</v>
      </c>
      <c r="D33" s="112">
        <f>SUM(D34:D37)</f>
        <v>34832</v>
      </c>
      <c r="E33" s="112">
        <f t="shared" si="21"/>
        <v>34832</v>
      </c>
      <c r="F33" s="176">
        <v>20368.835999999999</v>
      </c>
      <c r="G33" s="112">
        <f t="shared" ref="G33:M33" si="42">SUM(G34:G37)</f>
        <v>2780.7419999999997</v>
      </c>
      <c r="H33" s="112">
        <f t="shared" ref="H33:K33" si="43">SUM(H34:H37)</f>
        <v>3150.4559999999997</v>
      </c>
      <c r="I33" s="112">
        <f t="shared" si="43"/>
        <v>1405.0839999999998</v>
      </c>
      <c r="J33" s="112">
        <f t="shared" si="43"/>
        <v>3801.056</v>
      </c>
      <c r="K33" s="112">
        <f t="shared" si="43"/>
        <v>4568.1049999999996</v>
      </c>
      <c r="L33" s="112">
        <f t="shared" si="42"/>
        <v>4663.393</v>
      </c>
      <c r="M33" s="113">
        <f t="shared" si="42"/>
        <v>19416.091</v>
      </c>
      <c r="N33" s="114">
        <f t="shared" si="17"/>
        <v>952.74499999999898</v>
      </c>
      <c r="O33" s="115">
        <f t="shared" si="39"/>
        <v>104.90698668439491</v>
      </c>
      <c r="P33" s="114">
        <f t="shared" si="22"/>
        <v>17416</v>
      </c>
      <c r="Q33" s="114">
        <f t="shared" si="18"/>
        <v>2952.8359999999993</v>
      </c>
      <c r="R33" s="115">
        <f t="shared" si="19"/>
        <v>116.95473128158017</v>
      </c>
      <c r="S33" s="115">
        <f t="shared" si="23"/>
        <v>58.477365640790083</v>
      </c>
      <c r="T33" s="176">
        <f t="shared" ref="T33" si="44">SUM(T34:T37)</f>
        <v>15341.730999999998</v>
      </c>
      <c r="U33" s="114">
        <f t="shared" si="20"/>
        <v>5027.1050000000014</v>
      </c>
      <c r="V33" s="115">
        <f t="shared" si="40"/>
        <v>132.76752147459763</v>
      </c>
      <c r="W33" s="73">
        <f>L33-'[1]2021'!$I$33</f>
        <v>2107.116</v>
      </c>
      <c r="AB33" s="115">
        <v>104</v>
      </c>
    </row>
    <row r="34" spans="1:29" s="79" customFormat="1" ht="56.25" x14ac:dyDescent="0.25">
      <c r="A34" s="76" t="s">
        <v>164</v>
      </c>
      <c r="B34" s="159" t="s">
        <v>73</v>
      </c>
      <c r="C34" s="162" t="s">
        <v>72</v>
      </c>
      <c r="D34" s="116">
        <v>1500</v>
      </c>
      <c r="E34" s="116">
        <f t="shared" si="21"/>
        <v>1500</v>
      </c>
      <c r="F34" s="177">
        <v>454.06100000000004</v>
      </c>
      <c r="G34" s="116">
        <v>105.29900000000001</v>
      </c>
      <c r="H34" s="116">
        <v>116.64</v>
      </c>
      <c r="I34" s="116">
        <v>11.1</v>
      </c>
      <c r="J34" s="116">
        <v>63.677999999999997</v>
      </c>
      <c r="K34" s="116">
        <v>77.98</v>
      </c>
      <c r="L34" s="116">
        <v>79.364000000000004</v>
      </c>
      <c r="M34" s="117">
        <v>434</v>
      </c>
      <c r="N34" s="118">
        <f t="shared" si="17"/>
        <v>20.061000000000035</v>
      </c>
      <c r="O34" s="119">
        <f t="shared" si="39"/>
        <v>104.62235023041475</v>
      </c>
      <c r="P34" s="114">
        <f t="shared" si="22"/>
        <v>750</v>
      </c>
      <c r="Q34" s="118">
        <f t="shared" si="18"/>
        <v>-295.93899999999996</v>
      </c>
      <c r="R34" s="119">
        <f t="shared" si="19"/>
        <v>60.541466666666679</v>
      </c>
      <c r="S34" s="119">
        <f t="shared" si="23"/>
        <v>30.270733333333339</v>
      </c>
      <c r="T34" s="177">
        <v>759.3889999999999</v>
      </c>
      <c r="U34" s="118">
        <f t="shared" si="20"/>
        <v>-305.32799999999986</v>
      </c>
      <c r="V34" s="119">
        <f t="shared" si="40"/>
        <v>59.792938796848524</v>
      </c>
      <c r="W34" s="119">
        <f>V34-100</f>
        <v>-40.207061203151476</v>
      </c>
      <c r="X34" s="77"/>
      <c r="AB34" s="119">
        <v>102.5</v>
      </c>
    </row>
    <row r="35" spans="1:29" s="79" customFormat="1" ht="23.25" x14ac:dyDescent="0.25">
      <c r="A35" s="76" t="s">
        <v>165</v>
      </c>
      <c r="B35" s="160" t="s">
        <v>58</v>
      </c>
      <c r="C35" s="64" t="s">
        <v>59</v>
      </c>
      <c r="D35" s="116">
        <v>32000</v>
      </c>
      <c r="E35" s="116">
        <f t="shared" si="21"/>
        <v>32000</v>
      </c>
      <c r="F35" s="177">
        <v>19622.560000000001</v>
      </c>
      <c r="G35" s="116">
        <v>2558.1509999999998</v>
      </c>
      <c r="H35" s="116">
        <v>2929.93</v>
      </c>
      <c r="I35" s="116">
        <v>1393.9839999999999</v>
      </c>
      <c r="J35" s="116">
        <v>3737.3780000000002</v>
      </c>
      <c r="K35" s="116">
        <v>4482.4160000000002</v>
      </c>
      <c r="L35" s="116">
        <v>4520.701</v>
      </c>
      <c r="M35" s="117">
        <v>18706.291000000001</v>
      </c>
      <c r="N35" s="118">
        <f t="shared" si="17"/>
        <v>916.26900000000023</v>
      </c>
      <c r="O35" s="119">
        <f t="shared" si="39"/>
        <v>104.8981863908778</v>
      </c>
      <c r="P35" s="114">
        <f t="shared" si="22"/>
        <v>16000</v>
      </c>
      <c r="Q35" s="118">
        <f t="shared" si="18"/>
        <v>3622.5600000000013</v>
      </c>
      <c r="R35" s="119">
        <f t="shared" si="19"/>
        <v>122.64100000000001</v>
      </c>
      <c r="S35" s="119">
        <f t="shared" si="23"/>
        <v>61.320500000000003</v>
      </c>
      <c r="T35" s="177">
        <v>13891.822</v>
      </c>
      <c r="U35" s="118">
        <f t="shared" si="20"/>
        <v>5730.7380000000012</v>
      </c>
      <c r="V35" s="119">
        <f t="shared" si="40"/>
        <v>141.25260171056036</v>
      </c>
      <c r="W35" s="119">
        <f>V35-100</f>
        <v>41.252601710560356</v>
      </c>
      <c r="X35" s="78"/>
      <c r="AB35" s="119">
        <v>104.2</v>
      </c>
    </row>
    <row r="36" spans="1:29" s="79" customFormat="1" ht="37.5" x14ac:dyDescent="0.25">
      <c r="A36" s="76" t="s">
        <v>166</v>
      </c>
      <c r="B36" s="160" t="s">
        <v>77</v>
      </c>
      <c r="C36" s="64" t="s">
        <v>74</v>
      </c>
      <c r="D36" s="116">
        <v>1250</v>
      </c>
      <c r="E36" s="116">
        <f t="shared" si="21"/>
        <v>1250</v>
      </c>
      <c r="F36" s="177">
        <v>272.02499999999998</v>
      </c>
      <c r="G36" s="116">
        <v>109.502</v>
      </c>
      <c r="H36" s="116">
        <v>95.206000000000003</v>
      </c>
      <c r="I36" s="116">
        <v>0</v>
      </c>
      <c r="J36" s="116">
        <v>0</v>
      </c>
      <c r="K36" s="116">
        <v>7.7089999999999996</v>
      </c>
      <c r="L36" s="116">
        <v>59.607999999999997</v>
      </c>
      <c r="M36" s="117">
        <v>255.7</v>
      </c>
      <c r="N36" s="118">
        <f t="shared" si="17"/>
        <v>16.324999999999989</v>
      </c>
      <c r="O36" s="119">
        <f t="shared" si="39"/>
        <v>106.38443488463042</v>
      </c>
      <c r="P36" s="114">
        <f t="shared" si="22"/>
        <v>625</v>
      </c>
      <c r="Q36" s="118">
        <f t="shared" si="18"/>
        <v>-352.97500000000002</v>
      </c>
      <c r="R36" s="119">
        <f t="shared" si="19"/>
        <v>43.523999999999994</v>
      </c>
      <c r="S36" s="119">
        <f t="shared" si="23"/>
        <v>21.761999999999997</v>
      </c>
      <c r="T36" s="177">
        <v>655.72</v>
      </c>
      <c r="U36" s="118">
        <f t="shared" si="20"/>
        <v>-383.69500000000005</v>
      </c>
      <c r="V36" s="119">
        <f t="shared" si="40"/>
        <v>41.484932593180012</v>
      </c>
      <c r="AB36" s="119">
        <v>103.2</v>
      </c>
    </row>
    <row r="37" spans="1:29" s="79" customFormat="1" ht="112.5" x14ac:dyDescent="0.25">
      <c r="A37" s="76" t="s">
        <v>167</v>
      </c>
      <c r="B37" s="161" t="s">
        <v>76</v>
      </c>
      <c r="C37" s="64" t="s">
        <v>75</v>
      </c>
      <c r="D37" s="116">
        <v>82</v>
      </c>
      <c r="E37" s="116">
        <f t="shared" si="21"/>
        <v>82</v>
      </c>
      <c r="F37" s="177">
        <v>20.189999999999998</v>
      </c>
      <c r="G37" s="116">
        <v>7.79</v>
      </c>
      <c r="H37" s="116">
        <v>8.68</v>
      </c>
      <c r="I37" s="116">
        <v>0</v>
      </c>
      <c r="J37" s="116">
        <v>0</v>
      </c>
      <c r="K37" s="116">
        <v>0</v>
      </c>
      <c r="L37" s="116">
        <v>3.72</v>
      </c>
      <c r="M37" s="117">
        <v>20.100000000000001</v>
      </c>
      <c r="N37" s="118">
        <f t="shared" si="17"/>
        <v>8.9999999999996305E-2</v>
      </c>
      <c r="O37" s="119">
        <f t="shared" si="39"/>
        <v>100.44776119402982</v>
      </c>
      <c r="P37" s="114">
        <f t="shared" si="22"/>
        <v>41</v>
      </c>
      <c r="Q37" s="118">
        <f t="shared" si="18"/>
        <v>-20.810000000000002</v>
      </c>
      <c r="R37" s="119">
        <f t="shared" si="19"/>
        <v>49.243902439024382</v>
      </c>
      <c r="S37" s="119">
        <f t="shared" si="23"/>
        <v>24.621951219512191</v>
      </c>
      <c r="T37" s="177">
        <v>34.800000000000004</v>
      </c>
      <c r="U37" s="118">
        <f t="shared" si="20"/>
        <v>-14.610000000000007</v>
      </c>
      <c r="V37" s="119">
        <f t="shared" si="40"/>
        <v>58.017241379310335</v>
      </c>
      <c r="AB37" s="119">
        <v>84.5</v>
      </c>
    </row>
    <row r="38" spans="1:29" s="75" customFormat="1" ht="56.25" x14ac:dyDescent="0.25">
      <c r="A38" s="71">
        <v>16</v>
      </c>
      <c r="B38" s="157" t="s">
        <v>34</v>
      </c>
      <c r="C38" s="72" t="s">
        <v>19</v>
      </c>
      <c r="D38" s="112">
        <v>12300</v>
      </c>
      <c r="E38" s="112">
        <f t="shared" si="21"/>
        <v>12300</v>
      </c>
      <c r="F38" s="176">
        <v>5543.4049999999997</v>
      </c>
      <c r="G38" s="112">
        <v>1496.537</v>
      </c>
      <c r="H38" s="112">
        <v>908.92200000000003</v>
      </c>
      <c r="I38" s="112">
        <v>518.16800000000001</v>
      </c>
      <c r="J38" s="112">
        <v>785.06899999999996</v>
      </c>
      <c r="K38" s="112">
        <v>845.65599999999995</v>
      </c>
      <c r="L38" s="112">
        <v>989.053</v>
      </c>
      <c r="M38" s="113">
        <v>5542</v>
      </c>
      <c r="N38" s="114">
        <f t="shared" si="17"/>
        <v>1.4049999999997453</v>
      </c>
      <c r="O38" s="115">
        <f t="shared" si="39"/>
        <v>100.02535185853483</v>
      </c>
      <c r="P38" s="114">
        <f t="shared" si="22"/>
        <v>6150</v>
      </c>
      <c r="Q38" s="114">
        <f t="shared" si="18"/>
        <v>-606.59500000000025</v>
      </c>
      <c r="R38" s="115">
        <f t="shared" si="19"/>
        <v>90.13666666666667</v>
      </c>
      <c r="S38" s="115">
        <f t="shared" si="23"/>
        <v>45.068333333333335</v>
      </c>
      <c r="T38" s="176">
        <v>5769.6440000000002</v>
      </c>
      <c r="U38" s="114">
        <f t="shared" si="20"/>
        <v>-226.23900000000049</v>
      </c>
      <c r="V38" s="115">
        <f t="shared" si="40"/>
        <v>96.078804862137062</v>
      </c>
      <c r="W38" s="73">
        <f>L38-'[1]2021'!$I$38</f>
        <v>-19.849000000000046</v>
      </c>
      <c r="AB38" s="115">
        <v>91.7</v>
      </c>
    </row>
    <row r="39" spans="1:29" s="75" customFormat="1" ht="23.25" x14ac:dyDescent="0.25">
      <c r="A39" s="71">
        <f t="shared" ref="A39:A45" si="45">A38+1</f>
        <v>17</v>
      </c>
      <c r="B39" s="153" t="s">
        <v>53</v>
      </c>
      <c r="C39" s="72" t="s">
        <v>15</v>
      </c>
      <c r="D39" s="112">
        <v>600</v>
      </c>
      <c r="E39" s="112">
        <f t="shared" si="21"/>
        <v>600</v>
      </c>
      <c r="F39" s="176">
        <v>160.58699999999999</v>
      </c>
      <c r="G39" s="112">
        <v>46.207000000000001</v>
      </c>
      <c r="H39" s="112">
        <v>38.994</v>
      </c>
      <c r="I39" s="112">
        <v>5.9279999999999999</v>
      </c>
      <c r="J39" s="112">
        <v>15.554</v>
      </c>
      <c r="K39" s="112">
        <v>20.102</v>
      </c>
      <c r="L39" s="112">
        <v>33.802</v>
      </c>
      <c r="M39" s="113">
        <v>158.80099999999999</v>
      </c>
      <c r="N39" s="114">
        <f t="shared" si="17"/>
        <v>1.7860000000000014</v>
      </c>
      <c r="O39" s="115">
        <f t="shared" si="39"/>
        <v>101.12467805618353</v>
      </c>
      <c r="P39" s="114">
        <f t="shared" si="22"/>
        <v>300</v>
      </c>
      <c r="Q39" s="114">
        <f t="shared" si="18"/>
        <v>-139.41300000000001</v>
      </c>
      <c r="R39" s="115">
        <f t="shared" si="19"/>
        <v>53.528999999999996</v>
      </c>
      <c r="S39" s="115">
        <f t="shared" si="23"/>
        <v>26.764499999999998</v>
      </c>
      <c r="T39" s="176">
        <v>253.93799999999999</v>
      </c>
      <c r="U39" s="114">
        <f t="shared" si="20"/>
        <v>-93.350999999999999</v>
      </c>
      <c r="V39" s="115">
        <f t="shared" si="40"/>
        <v>63.238664555915221</v>
      </c>
      <c r="W39" s="74">
        <f>100-V39</f>
        <v>36.761335444084779</v>
      </c>
      <c r="AB39" s="115">
        <v>70.5</v>
      </c>
    </row>
    <row r="40" spans="1:29" s="75" customFormat="1" ht="93.75" x14ac:dyDescent="0.25">
      <c r="A40" s="71">
        <f t="shared" si="45"/>
        <v>18</v>
      </c>
      <c r="B40" s="153" t="s">
        <v>97</v>
      </c>
      <c r="C40" s="72" t="s">
        <v>96</v>
      </c>
      <c r="D40" s="112">
        <v>2.6</v>
      </c>
      <c r="E40" s="112">
        <f t="shared" si="21"/>
        <v>2.6</v>
      </c>
      <c r="F40" s="176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3">
        <v>0</v>
      </c>
      <c r="N40" s="114">
        <f t="shared" si="17"/>
        <v>0</v>
      </c>
      <c r="O40" s="115"/>
      <c r="P40" s="114">
        <f t="shared" si="22"/>
        <v>1.3</v>
      </c>
      <c r="Q40" s="114">
        <f t="shared" si="18"/>
        <v>-1.3</v>
      </c>
      <c r="R40" s="115"/>
      <c r="S40" s="115">
        <f t="shared" si="23"/>
        <v>0</v>
      </c>
      <c r="T40" s="176">
        <v>0</v>
      </c>
      <c r="U40" s="114">
        <f t="shared" si="20"/>
        <v>0</v>
      </c>
      <c r="V40" s="115"/>
      <c r="AB40" s="115">
        <v>100</v>
      </c>
    </row>
    <row r="41" spans="1:29" s="75" customFormat="1" ht="37.5" x14ac:dyDescent="0.25">
      <c r="A41" s="71">
        <f t="shared" si="45"/>
        <v>19</v>
      </c>
      <c r="B41" s="155" t="s">
        <v>60</v>
      </c>
      <c r="C41" s="33" t="s">
        <v>61</v>
      </c>
      <c r="D41" s="112">
        <v>235</v>
      </c>
      <c r="E41" s="112">
        <f t="shared" si="21"/>
        <v>235</v>
      </c>
      <c r="F41" s="176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3">
        <v>0</v>
      </c>
      <c r="N41" s="114">
        <f t="shared" si="17"/>
        <v>0</v>
      </c>
      <c r="O41" s="115"/>
      <c r="P41" s="114">
        <f t="shared" si="22"/>
        <v>117.5</v>
      </c>
      <c r="Q41" s="114">
        <f t="shared" si="18"/>
        <v>-117.5</v>
      </c>
      <c r="R41" s="115">
        <f t="shared" ref="R41:R46" si="46">F41/P41*100</f>
        <v>0</v>
      </c>
      <c r="S41" s="115">
        <f t="shared" si="23"/>
        <v>0</v>
      </c>
      <c r="T41" s="176">
        <v>230.22200000000001</v>
      </c>
      <c r="U41" s="114">
        <f t="shared" si="20"/>
        <v>-230.22200000000001</v>
      </c>
      <c r="V41" s="115"/>
      <c r="AB41" s="115">
        <v>56.1</v>
      </c>
    </row>
    <row r="42" spans="1:29" s="75" customFormat="1" ht="23.25" x14ac:dyDescent="0.25">
      <c r="A42" s="71">
        <f t="shared" si="45"/>
        <v>20</v>
      </c>
      <c r="B42" s="153" t="s">
        <v>8</v>
      </c>
      <c r="C42" s="72" t="s">
        <v>20</v>
      </c>
      <c r="D42" s="112">
        <v>1700</v>
      </c>
      <c r="E42" s="112">
        <f t="shared" si="21"/>
        <v>1700</v>
      </c>
      <c r="F42" s="176">
        <v>586.44499999999994</v>
      </c>
      <c r="G42" s="112">
        <v>229.78800000000001</v>
      </c>
      <c r="H42" s="112">
        <v>139.07599999999999</v>
      </c>
      <c r="I42" s="112">
        <v>28.978999999999999</v>
      </c>
      <c r="J42" s="112">
        <v>35.814</v>
      </c>
      <c r="K42" s="112">
        <v>78.287000000000006</v>
      </c>
      <c r="L42" s="112">
        <v>74.501999999999995</v>
      </c>
      <c r="M42" s="113">
        <v>577</v>
      </c>
      <c r="N42" s="114">
        <f t="shared" ref="N42:N59" si="47">F42-M42</f>
        <v>9.4449999999999363</v>
      </c>
      <c r="O42" s="115">
        <f>F42/M42*100</f>
        <v>101.6369150779896</v>
      </c>
      <c r="P42" s="114">
        <f t="shared" si="22"/>
        <v>850</v>
      </c>
      <c r="Q42" s="114">
        <f t="shared" ref="Q42:Q59" si="48">F42-P42</f>
        <v>-263.55500000000006</v>
      </c>
      <c r="R42" s="115">
        <f t="shared" si="46"/>
        <v>68.993529411764698</v>
      </c>
      <c r="S42" s="115">
        <f t="shared" si="23"/>
        <v>34.496764705882349</v>
      </c>
      <c r="T42" s="176">
        <v>848.5920000000001</v>
      </c>
      <c r="U42" s="114">
        <f t="shared" ref="U42:U59" si="49">F42-T42</f>
        <v>-262.14700000000016</v>
      </c>
      <c r="V42" s="115">
        <f>F42/T42*100</f>
        <v>69.108004789109472</v>
      </c>
      <c r="Z42" s="75">
        <v>246438.04</v>
      </c>
      <c r="AB42" s="115">
        <v>102</v>
      </c>
    </row>
    <row r="43" spans="1:29" s="75" customFormat="1" ht="168.75" x14ac:dyDescent="0.25">
      <c r="A43" s="71">
        <f t="shared" si="45"/>
        <v>21</v>
      </c>
      <c r="B43" s="153" t="s">
        <v>52</v>
      </c>
      <c r="C43" s="72" t="s">
        <v>46</v>
      </c>
      <c r="D43" s="112">
        <v>1000</v>
      </c>
      <c r="E43" s="112">
        <f t="shared" si="21"/>
        <v>1000</v>
      </c>
      <c r="F43" s="176">
        <v>501.62099999999998</v>
      </c>
      <c r="G43" s="112">
        <v>162.79300000000001</v>
      </c>
      <c r="H43" s="112">
        <v>1.9590000000000001</v>
      </c>
      <c r="I43" s="112">
        <v>97.171000000000006</v>
      </c>
      <c r="J43" s="112">
        <v>0</v>
      </c>
      <c r="K43" s="112">
        <v>16.827000000000002</v>
      </c>
      <c r="L43" s="112">
        <v>222.87100000000001</v>
      </c>
      <c r="M43" s="113">
        <v>496.7</v>
      </c>
      <c r="N43" s="114">
        <f t="shared" si="47"/>
        <v>4.9209999999999923</v>
      </c>
      <c r="O43" s="115">
        <f>F43/M43*100</f>
        <v>100.99073887658547</v>
      </c>
      <c r="P43" s="114">
        <f>E43/12*6</f>
        <v>500</v>
      </c>
      <c r="Q43" s="114">
        <f t="shared" si="48"/>
        <v>1.6209999999999809</v>
      </c>
      <c r="R43" s="115">
        <f t="shared" si="46"/>
        <v>100.32419999999999</v>
      </c>
      <c r="S43" s="115">
        <f t="shared" si="23"/>
        <v>50.162099999999995</v>
      </c>
      <c r="T43" s="176">
        <v>794.42499999999995</v>
      </c>
      <c r="U43" s="114">
        <f t="shared" si="49"/>
        <v>-292.80399999999997</v>
      </c>
      <c r="V43" s="115">
        <f>F43/T43*100</f>
        <v>63.142650344588859</v>
      </c>
      <c r="AB43" s="115">
        <v>83.1</v>
      </c>
    </row>
    <row r="44" spans="1:29" s="75" customFormat="1" ht="75" x14ac:dyDescent="0.25">
      <c r="A44" s="71">
        <f t="shared" si="45"/>
        <v>22</v>
      </c>
      <c r="B44" s="153" t="s">
        <v>125</v>
      </c>
      <c r="C44" s="72" t="s">
        <v>124</v>
      </c>
      <c r="D44" s="112">
        <v>1</v>
      </c>
      <c r="E44" s="112">
        <f t="shared" si="21"/>
        <v>1</v>
      </c>
      <c r="F44" s="176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3">
        <v>0</v>
      </c>
      <c r="N44" s="114">
        <f t="shared" si="47"/>
        <v>0</v>
      </c>
      <c r="O44" s="115"/>
      <c r="P44" s="114">
        <f t="shared" si="22"/>
        <v>0.5</v>
      </c>
      <c r="Q44" s="114">
        <f t="shared" si="48"/>
        <v>-0.5</v>
      </c>
      <c r="R44" s="115">
        <f t="shared" si="46"/>
        <v>0</v>
      </c>
      <c r="S44" s="115">
        <f t="shared" si="23"/>
        <v>0</v>
      </c>
      <c r="T44" s="176">
        <v>0</v>
      </c>
      <c r="U44" s="114">
        <f t="shared" si="49"/>
        <v>0</v>
      </c>
      <c r="V44" s="115"/>
      <c r="X44" s="73">
        <f>F46-F42</f>
        <v>2078735.777</v>
      </c>
      <c r="Y44" s="73">
        <f>T46-T42</f>
        <v>1732071.5540000005</v>
      </c>
      <c r="Z44" s="74">
        <f>X44/Y44</f>
        <v>1.200144285147702</v>
      </c>
      <c r="AB44" s="115"/>
    </row>
    <row r="45" spans="1:29" s="75" customFormat="1" ht="37.5" x14ac:dyDescent="0.25">
      <c r="A45" s="71">
        <f t="shared" si="45"/>
        <v>23</v>
      </c>
      <c r="B45" s="153" t="s">
        <v>83</v>
      </c>
      <c r="C45" s="72" t="s">
        <v>82</v>
      </c>
      <c r="D45" s="112">
        <v>1</v>
      </c>
      <c r="E45" s="112">
        <f t="shared" si="21"/>
        <v>1</v>
      </c>
      <c r="F45" s="176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3">
        <v>0</v>
      </c>
      <c r="N45" s="114">
        <f t="shared" si="47"/>
        <v>0</v>
      </c>
      <c r="O45" s="115"/>
      <c r="P45" s="114">
        <f t="shared" si="22"/>
        <v>0.5</v>
      </c>
      <c r="Q45" s="114">
        <f t="shared" si="48"/>
        <v>-0.5</v>
      </c>
      <c r="R45" s="115">
        <f t="shared" si="46"/>
        <v>0</v>
      </c>
      <c r="S45" s="115">
        <f>F45/E45*100</f>
        <v>0</v>
      </c>
      <c r="T45" s="176">
        <v>0</v>
      </c>
      <c r="U45" s="114">
        <f t="shared" si="49"/>
        <v>0</v>
      </c>
      <c r="V45" s="115"/>
      <c r="AB45" s="115"/>
    </row>
    <row r="46" spans="1:29" s="85" customFormat="1" ht="22.5" x14ac:dyDescent="0.3">
      <c r="A46" s="80"/>
      <c r="B46" s="81" t="s">
        <v>151</v>
      </c>
      <c r="C46" s="82"/>
      <c r="D46" s="82">
        <f>D7+D8+D9+D14+D19+D25+D26+D27+D28+D29+D30+D31+D33+D38+D39+D40+D41+D42+D43+D45+D44+D32</f>
        <v>4389459.9849999994</v>
      </c>
      <c r="E46" s="82">
        <f>E7+E8+E9+E14+E19+E25+E26+E27+E28+E29+E30+E31+E33+E38+E39+E40+E41+E42+E43+E45+E44+E32</f>
        <v>4389459.9850000003</v>
      </c>
      <c r="F46" s="82">
        <v>2079322.2220000001</v>
      </c>
      <c r="G46" s="82">
        <f>G7+G8+G9+G14+G19+G25+G26+G27+G28+G29+G30+G31+G33+G38+G39+G40+G41+G42+G43+G45+G44+G32</f>
        <v>303539.72700000007</v>
      </c>
      <c r="H46" s="82">
        <f>H7+H8+H9+H14+H19+H25+H26+H27+H28+H29+H30+H31+H33+H38+H39+H40+H41+H42+H43+H45+H44+H32+H18</f>
        <v>382603.97200000007</v>
      </c>
      <c r="I46" s="82">
        <f>I7+I8+I9+I14+I19+I25+I26+I27+I28+I29+I30+I31+I33+I38+I39+I40+I41+I42+I43+I45+I44+I32+I18</f>
        <v>298934.25099999999</v>
      </c>
      <c r="J46" s="82">
        <f>J7+J8+J9+J14+J19+J25+J26+J27+J28+J29+J30+J31+J33+J38+J39+J40+J41+J42+J43+J45+J44+J32+J18</f>
        <v>326149.27299999999</v>
      </c>
      <c r="K46" s="82">
        <f>K7+K8+K9+K14+K19+K25+K26+K27+K28+K29+K30+K31+K33+K38+K39+K40+K41+K42+K43+K45+K44+K32+K18</f>
        <v>384494.11599999998</v>
      </c>
      <c r="L46" s="82">
        <f>L7+L8+L9+L14+L19+L25+L26+L27+L28+L29+L30+L31+L33+L38+L39+L40+L41+L42+L43+L45+L44+L32+L18</f>
        <v>383600.88300000003</v>
      </c>
      <c r="M46" s="82">
        <f>M7+M8+M9+M14+M19+M25+M26+M27+M28+M29+M30+M31+M33+M38+M39+M40+M41+M42+M43+M45+M44+M32</f>
        <v>2011214.6549999998</v>
      </c>
      <c r="N46" s="83">
        <f t="shared" si="47"/>
        <v>68107.567000000272</v>
      </c>
      <c r="O46" s="84">
        <f>F46/M46*100</f>
        <v>103.38638975360888</v>
      </c>
      <c r="P46" s="82">
        <f>P7+P8+P9+P14+P19+P25+P26+P27+P28+P29+P30+P31+P33+P38+P39+P40+P41+P42+P43+P45+P44+P32</f>
        <v>2194729.9925000002</v>
      </c>
      <c r="Q46" s="83">
        <f t="shared" si="48"/>
        <v>-115407.7705000001</v>
      </c>
      <c r="R46" s="84">
        <f t="shared" si="46"/>
        <v>94.741595964224274</v>
      </c>
      <c r="S46" s="84">
        <f t="shared" si="23"/>
        <v>47.370797982112137</v>
      </c>
      <c r="T46" s="82">
        <f>T7+T8+T9+T14+T19+T25+T26+T27+T28+T29+T30+T31+T33+T38+T39+T40+T41+T42+T43+T45+T44+T32</f>
        <v>1732920.1460000004</v>
      </c>
      <c r="U46" s="83">
        <f t="shared" si="49"/>
        <v>346402.07599999965</v>
      </c>
      <c r="V46" s="84">
        <f>F46/T46*100</f>
        <v>119.98950019708523</v>
      </c>
      <c r="W46" s="86">
        <v>1732920.1460000002</v>
      </c>
      <c r="X46" s="86">
        <f>W46-T46</f>
        <v>0</v>
      </c>
      <c r="AA46" s="86" t="e">
        <f>#REF!-#REF!-#REF!</f>
        <v>#REF!</v>
      </c>
      <c r="AB46" s="84">
        <v>117.9</v>
      </c>
      <c r="AC46" s="85">
        <v>294547.38299999997</v>
      </c>
    </row>
    <row r="47" spans="1:29" s="10" customFormat="1" ht="39" x14ac:dyDescent="0.25">
      <c r="A47" s="24">
        <v>1</v>
      </c>
      <c r="B47" s="57" t="s">
        <v>126</v>
      </c>
      <c r="C47" s="25" t="s">
        <v>54</v>
      </c>
      <c r="D47" s="120">
        <v>855684.1</v>
      </c>
      <c r="E47" s="120">
        <v>770115.7</v>
      </c>
      <c r="F47" s="176">
        <v>481876.6</v>
      </c>
      <c r="G47" s="112">
        <v>65887.7</v>
      </c>
      <c r="H47" s="112">
        <v>65887.7</v>
      </c>
      <c r="I47" s="112">
        <v>65887.7</v>
      </c>
      <c r="J47" s="112">
        <v>65887.7</v>
      </c>
      <c r="K47" s="112">
        <v>83001.399999999994</v>
      </c>
      <c r="L47" s="112">
        <v>135324.4</v>
      </c>
      <c r="M47" s="112">
        <v>481876.6</v>
      </c>
      <c r="N47" s="114">
        <f t="shared" si="47"/>
        <v>0</v>
      </c>
      <c r="O47" s="115">
        <f>F47/M47*100</f>
        <v>100</v>
      </c>
      <c r="P47" s="112">
        <f>E47</f>
        <v>770115.7</v>
      </c>
      <c r="Q47" s="114">
        <f>F47-P47</f>
        <v>-288239.09999999998</v>
      </c>
      <c r="R47" s="115">
        <f>F47/P47*100</f>
        <v>62.571974574729481</v>
      </c>
      <c r="S47" s="115">
        <f>F47/E47*100</f>
        <v>62.571974574729481</v>
      </c>
      <c r="T47" s="176">
        <v>415264.70000000007</v>
      </c>
      <c r="U47" s="114">
        <f t="shared" si="49"/>
        <v>66611.899999999907</v>
      </c>
      <c r="V47" s="115">
        <f>F47/T47*100</f>
        <v>116.04082889780901</v>
      </c>
      <c r="W47" s="43"/>
      <c r="X47" s="43"/>
      <c r="Y47" s="43"/>
      <c r="Z47" s="45"/>
      <c r="AB47" s="191"/>
    </row>
    <row r="48" spans="1:29" s="10" customFormat="1" ht="58.5" x14ac:dyDescent="0.25">
      <c r="A48" s="24">
        <f>A47+1</f>
        <v>2</v>
      </c>
      <c r="B48" s="57" t="s">
        <v>171</v>
      </c>
      <c r="C48" s="25" t="s">
        <v>172</v>
      </c>
      <c r="D48" s="120">
        <v>0</v>
      </c>
      <c r="E48" s="120">
        <f t="shared" ref="E48:E52" si="50">D48</f>
        <v>0</v>
      </c>
      <c r="F48" s="176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4">
        <f t="shared" si="47"/>
        <v>0</v>
      </c>
      <c r="O48" s="115"/>
      <c r="P48" s="112">
        <f t="shared" ref="P48:P59" si="51">E48</f>
        <v>0</v>
      </c>
      <c r="Q48" s="114">
        <f t="shared" si="48"/>
        <v>0</v>
      </c>
      <c r="R48" s="115"/>
      <c r="S48" s="115"/>
      <c r="T48" s="176">
        <v>5274</v>
      </c>
      <c r="U48" s="114">
        <f t="shared" si="49"/>
        <v>-5274</v>
      </c>
      <c r="V48" s="115"/>
      <c r="W48" s="43"/>
      <c r="X48" s="43"/>
      <c r="Y48" s="43"/>
      <c r="Z48" s="45"/>
      <c r="AB48" s="192"/>
    </row>
    <row r="49" spans="1:28" s="10" customFormat="1" ht="78" x14ac:dyDescent="0.25">
      <c r="A49" s="24">
        <f t="shared" ref="A49:A53" si="52">A48+1</f>
        <v>3</v>
      </c>
      <c r="B49" s="128" t="s">
        <v>127</v>
      </c>
      <c r="C49" s="129" t="s">
        <v>111</v>
      </c>
      <c r="D49" s="120">
        <v>29000</v>
      </c>
      <c r="E49" s="120">
        <f t="shared" si="50"/>
        <v>29000</v>
      </c>
      <c r="F49" s="176">
        <v>14500.2</v>
      </c>
      <c r="G49" s="112">
        <v>2416.6999999999998</v>
      </c>
      <c r="H49" s="112">
        <v>2416.6999999999998</v>
      </c>
      <c r="I49" s="112">
        <v>2416.6999999999998</v>
      </c>
      <c r="J49" s="112">
        <v>2416.6999999999998</v>
      </c>
      <c r="K49" s="112">
        <v>2416.6999999999998</v>
      </c>
      <c r="L49" s="112">
        <v>2416.6999999999998</v>
      </c>
      <c r="M49" s="112">
        <v>14500.2</v>
      </c>
      <c r="N49" s="114">
        <f t="shared" si="47"/>
        <v>0</v>
      </c>
      <c r="O49" s="115">
        <f>F49/M49*100</f>
        <v>100</v>
      </c>
      <c r="P49" s="112">
        <f t="shared" si="51"/>
        <v>29000</v>
      </c>
      <c r="Q49" s="114">
        <f t="shared" si="48"/>
        <v>-14499.8</v>
      </c>
      <c r="R49" s="115">
        <f t="shared" ref="R49" si="53">F49/P49*100</f>
        <v>50.000689655172415</v>
      </c>
      <c r="S49" s="115">
        <f t="shared" si="23"/>
        <v>50.000689655172415</v>
      </c>
      <c r="T49" s="176">
        <v>0</v>
      </c>
      <c r="U49" s="114">
        <f t="shared" si="49"/>
        <v>14500.2</v>
      </c>
      <c r="V49" s="115"/>
      <c r="W49" s="43"/>
      <c r="X49" s="43"/>
      <c r="Y49" s="43"/>
      <c r="Z49" s="45"/>
      <c r="AB49" s="192"/>
    </row>
    <row r="50" spans="1:28" s="10" customFormat="1" ht="58.5" x14ac:dyDescent="0.25">
      <c r="A50" s="24">
        <f t="shared" si="52"/>
        <v>4</v>
      </c>
      <c r="B50" s="128" t="s">
        <v>130</v>
      </c>
      <c r="C50" s="129" t="s">
        <v>120</v>
      </c>
      <c r="D50" s="120">
        <v>16764.740000000002</v>
      </c>
      <c r="E50" s="120">
        <v>13810.54</v>
      </c>
      <c r="F50" s="176">
        <v>9034.0529999999999</v>
      </c>
      <c r="G50" s="112">
        <v>1290.8869999999999</v>
      </c>
      <c r="H50" s="112">
        <v>1290.886</v>
      </c>
      <c r="I50" s="112">
        <v>1290.886</v>
      </c>
      <c r="J50" s="112">
        <v>1290.886</v>
      </c>
      <c r="K50" s="112">
        <v>1626.181</v>
      </c>
      <c r="L50" s="112">
        <v>2244.3270000000002</v>
      </c>
      <c r="M50" s="113">
        <v>9034.0529999999999</v>
      </c>
      <c r="N50" s="114">
        <f t="shared" si="47"/>
        <v>0</v>
      </c>
      <c r="O50" s="115">
        <f>F50/M50*100</f>
        <v>100</v>
      </c>
      <c r="P50" s="112">
        <f t="shared" si="51"/>
        <v>13810.54</v>
      </c>
      <c r="Q50" s="114">
        <f t="shared" si="48"/>
        <v>-4776.487000000001</v>
      </c>
      <c r="R50" s="115">
        <f>F50/P50*100</f>
        <v>65.414190900573033</v>
      </c>
      <c r="S50" s="115">
        <f t="shared" si="23"/>
        <v>65.414190900573033</v>
      </c>
      <c r="T50" s="176">
        <v>6638.4050000000007</v>
      </c>
      <c r="U50" s="114">
        <f t="shared" si="49"/>
        <v>2395.6479999999992</v>
      </c>
      <c r="V50" s="115">
        <f>F50/T50*100</f>
        <v>136.08770480258434</v>
      </c>
      <c r="AB50" s="192"/>
    </row>
    <row r="51" spans="1:28" s="10" customFormat="1" ht="78" x14ac:dyDescent="0.25">
      <c r="A51" s="24">
        <f t="shared" si="52"/>
        <v>5</v>
      </c>
      <c r="B51" s="128" t="s">
        <v>131</v>
      </c>
      <c r="C51" s="129">
        <v>41051200</v>
      </c>
      <c r="D51" s="120">
        <v>3718.5</v>
      </c>
      <c r="E51" s="120">
        <v>3346.6</v>
      </c>
      <c r="F51" s="176">
        <v>1171.164</v>
      </c>
      <c r="G51" s="112">
        <v>82.944999999999993</v>
      </c>
      <c r="H51" s="112">
        <v>230.36500000000001</v>
      </c>
      <c r="I51" s="112">
        <v>230.36500000000001</v>
      </c>
      <c r="J51" s="112">
        <v>230.36500000000001</v>
      </c>
      <c r="K51" s="112">
        <v>198.56200000000001</v>
      </c>
      <c r="L51" s="112">
        <v>198.56200000000001</v>
      </c>
      <c r="M51" s="113">
        <v>1467.828</v>
      </c>
      <c r="N51" s="114">
        <f t="shared" si="47"/>
        <v>-296.66399999999999</v>
      </c>
      <c r="O51" s="115">
        <f>F51/M51*100</f>
        <v>79.788912597388801</v>
      </c>
      <c r="P51" s="112">
        <f t="shared" si="51"/>
        <v>3346.6</v>
      </c>
      <c r="Q51" s="114">
        <f t="shared" si="48"/>
        <v>-2175.4359999999997</v>
      </c>
      <c r="R51" s="115">
        <f>F51/P51*100</f>
        <v>34.995637363294094</v>
      </c>
      <c r="S51" s="115">
        <f t="shared" si="23"/>
        <v>34.995637363294094</v>
      </c>
      <c r="T51" s="176">
        <v>1766.604</v>
      </c>
      <c r="U51" s="114">
        <f t="shared" si="49"/>
        <v>-595.44000000000005</v>
      </c>
      <c r="V51" s="115">
        <f>F51/T51*100</f>
        <v>66.294653470726885</v>
      </c>
      <c r="AB51" s="192"/>
    </row>
    <row r="52" spans="1:28" s="10" customFormat="1" ht="78" x14ac:dyDescent="0.25">
      <c r="A52" s="24">
        <f t="shared" si="52"/>
        <v>6</v>
      </c>
      <c r="B52" s="131" t="s">
        <v>142</v>
      </c>
      <c r="C52" s="129" t="s">
        <v>129</v>
      </c>
      <c r="D52" s="120">
        <v>0</v>
      </c>
      <c r="E52" s="120">
        <f t="shared" si="50"/>
        <v>0</v>
      </c>
      <c r="F52" s="176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3">
        <v>0</v>
      </c>
      <c r="N52" s="114">
        <f t="shared" si="47"/>
        <v>0</v>
      </c>
      <c r="O52" s="115"/>
      <c r="P52" s="112">
        <f t="shared" si="51"/>
        <v>0</v>
      </c>
      <c r="Q52" s="114">
        <f t="shared" si="48"/>
        <v>0</v>
      </c>
      <c r="R52" s="115"/>
      <c r="S52" s="115"/>
      <c r="T52" s="176">
        <v>10877.393</v>
      </c>
      <c r="U52" s="114">
        <f t="shared" si="49"/>
        <v>-10877.393</v>
      </c>
      <c r="V52" s="115"/>
      <c r="W52" s="112"/>
      <c r="X52" s="112"/>
      <c r="AB52" s="192"/>
    </row>
    <row r="53" spans="1:28" s="10" customFormat="1" ht="36.75" customHeight="1" x14ac:dyDescent="0.25">
      <c r="A53" s="24">
        <f t="shared" si="52"/>
        <v>7</v>
      </c>
      <c r="B53" s="131" t="s">
        <v>128</v>
      </c>
      <c r="C53" s="129" t="s">
        <v>112</v>
      </c>
      <c r="D53" s="120">
        <f>SUM(D54:D57)</f>
        <v>4144</v>
      </c>
      <c r="E53" s="120">
        <f>SUM(E54:E57)</f>
        <v>4144</v>
      </c>
      <c r="F53" s="176">
        <v>1624.2140000000002</v>
      </c>
      <c r="G53" s="112">
        <f t="shared" ref="G53:L53" si="54">SUM(G54:G57)</f>
        <v>0</v>
      </c>
      <c r="H53" s="112">
        <f t="shared" si="54"/>
        <v>69.319000000000003</v>
      </c>
      <c r="I53" s="112">
        <f t="shared" si="54"/>
        <v>2.609</v>
      </c>
      <c r="J53" s="112">
        <f t="shared" si="54"/>
        <v>835.69900000000007</v>
      </c>
      <c r="K53" s="112">
        <f t="shared" ref="K53" si="55">SUM(K54:K57)</f>
        <v>575.18200000000002</v>
      </c>
      <c r="L53" s="112">
        <f t="shared" si="54"/>
        <v>141.405</v>
      </c>
      <c r="M53" s="112">
        <f>SUM(M54:M59)</f>
        <v>1853.9749999999999</v>
      </c>
      <c r="N53" s="114">
        <f t="shared" si="47"/>
        <v>-229.76099999999974</v>
      </c>
      <c r="O53" s="115">
        <f t="shared" ref="O53:O57" si="56">F53/M53*100</f>
        <v>87.607114443290783</v>
      </c>
      <c r="P53" s="112">
        <f t="shared" si="51"/>
        <v>4144</v>
      </c>
      <c r="Q53" s="114">
        <f t="shared" si="48"/>
        <v>-2519.7860000000001</v>
      </c>
      <c r="R53" s="115">
        <f t="shared" ref="R53:R57" si="57">F53/P53*100</f>
        <v>39.194353281853282</v>
      </c>
      <c r="S53" s="115">
        <f t="shared" si="23"/>
        <v>39.194353281853282</v>
      </c>
      <c r="T53" s="176">
        <f>SUM(T54:T59)</f>
        <v>1373.1179999999999</v>
      </c>
      <c r="U53" s="114">
        <f t="shared" si="49"/>
        <v>251.09600000000023</v>
      </c>
      <c r="V53" s="115">
        <f>F53/T53*100</f>
        <v>118.28655658144459</v>
      </c>
      <c r="W53" s="112">
        <v>5098.8379999999997</v>
      </c>
      <c r="X53" s="112">
        <f>W53-T53</f>
        <v>3725.72</v>
      </c>
      <c r="AB53" s="192"/>
    </row>
    <row r="54" spans="1:28" s="42" customFormat="1" ht="50.25" customHeight="1" x14ac:dyDescent="0.25">
      <c r="A54" s="41" t="s">
        <v>173</v>
      </c>
      <c r="B54" s="130" t="s">
        <v>191</v>
      </c>
      <c r="C54" s="100"/>
      <c r="D54" s="121">
        <v>105</v>
      </c>
      <c r="E54" s="121">
        <f t="shared" ref="E54:E59" si="58">D54</f>
        <v>105</v>
      </c>
      <c r="F54" s="177">
        <v>34.551000000000002</v>
      </c>
      <c r="G54" s="116">
        <v>0</v>
      </c>
      <c r="H54" s="116">
        <v>10.734999999999999</v>
      </c>
      <c r="I54" s="116">
        <v>2.609</v>
      </c>
      <c r="J54" s="116">
        <f>11.002</f>
        <v>11.002000000000001</v>
      </c>
      <c r="K54" s="116">
        <v>7.4420000000000002</v>
      </c>
      <c r="L54" s="116">
        <f>2.763</f>
        <v>2.7629999999999999</v>
      </c>
      <c r="M54" s="117">
        <v>52.512</v>
      </c>
      <c r="N54" s="118">
        <f t="shared" si="47"/>
        <v>-17.960999999999999</v>
      </c>
      <c r="O54" s="119">
        <f t="shared" si="56"/>
        <v>65.79638939670933</v>
      </c>
      <c r="P54" s="116">
        <f t="shared" si="51"/>
        <v>105</v>
      </c>
      <c r="Q54" s="118">
        <f t="shared" si="48"/>
        <v>-70.448999999999998</v>
      </c>
      <c r="R54" s="119">
        <f t="shared" si="57"/>
        <v>32.905714285714289</v>
      </c>
      <c r="S54" s="119">
        <f t="shared" si="23"/>
        <v>32.905714285714289</v>
      </c>
      <c r="T54" s="177">
        <v>51.595999999999997</v>
      </c>
      <c r="U54" s="118">
        <f t="shared" si="49"/>
        <v>-17.044999999999995</v>
      </c>
      <c r="V54" s="119">
        <f t="shared" ref="V54:V55" si="59">F54/T54*100</f>
        <v>66.964493371579209</v>
      </c>
      <c r="AB54" s="192"/>
    </row>
    <row r="55" spans="1:28" s="42" customFormat="1" ht="51" customHeight="1" x14ac:dyDescent="0.25">
      <c r="A55" s="41" t="s">
        <v>174</v>
      </c>
      <c r="B55" s="130" t="s">
        <v>192</v>
      </c>
      <c r="C55" s="100"/>
      <c r="D55" s="121">
        <v>1246.7</v>
      </c>
      <c r="E55" s="121">
        <f t="shared" si="58"/>
        <v>1246.7</v>
      </c>
      <c r="F55" s="177">
        <v>520.56600000000003</v>
      </c>
      <c r="G55" s="116">
        <v>0</v>
      </c>
      <c r="H55" s="116">
        <v>58.584000000000003</v>
      </c>
      <c r="I55" s="116">
        <v>0</v>
      </c>
      <c r="J55" s="116">
        <f>65.714+117.526</f>
        <v>183.24</v>
      </c>
      <c r="K55" s="116">
        <v>140.1</v>
      </c>
      <c r="L55" s="116">
        <v>138.642</v>
      </c>
      <c r="M55" s="117">
        <v>520.56600000000003</v>
      </c>
      <c r="N55" s="118">
        <f t="shared" si="47"/>
        <v>0</v>
      </c>
      <c r="O55" s="119">
        <f t="shared" si="56"/>
        <v>100</v>
      </c>
      <c r="P55" s="116">
        <f t="shared" si="51"/>
        <v>1246.7</v>
      </c>
      <c r="Q55" s="118">
        <f t="shared" si="48"/>
        <v>-726.13400000000001</v>
      </c>
      <c r="R55" s="119">
        <f t="shared" si="57"/>
        <v>41.755514558434271</v>
      </c>
      <c r="S55" s="119">
        <f t="shared" si="23"/>
        <v>41.755514558434271</v>
      </c>
      <c r="T55" s="177">
        <v>520.5619999999999</v>
      </c>
      <c r="U55" s="118">
        <f t="shared" si="49"/>
        <v>4.0000000001327862E-3</v>
      </c>
      <c r="V55" s="119">
        <f t="shared" si="59"/>
        <v>100.00076840030584</v>
      </c>
      <c r="AB55" s="192"/>
    </row>
    <row r="56" spans="1:28" s="42" customFormat="1" ht="77.25" x14ac:dyDescent="0.25">
      <c r="A56" s="41" t="s">
        <v>175</v>
      </c>
      <c r="B56" s="130" t="s">
        <v>193</v>
      </c>
      <c r="C56" s="100"/>
      <c r="D56" s="121">
        <v>292.3</v>
      </c>
      <c r="E56" s="121">
        <f t="shared" si="58"/>
        <v>292.3</v>
      </c>
      <c r="F56" s="177">
        <v>146.136</v>
      </c>
      <c r="G56" s="116">
        <v>0</v>
      </c>
      <c r="H56" s="116">
        <v>0</v>
      </c>
      <c r="I56" s="116">
        <v>0</v>
      </c>
      <c r="J56" s="116">
        <v>146.136</v>
      </c>
      <c r="K56" s="116">
        <v>0</v>
      </c>
      <c r="L56" s="116">
        <v>0</v>
      </c>
      <c r="M56" s="117">
        <v>146.136</v>
      </c>
      <c r="N56" s="118">
        <f t="shared" si="47"/>
        <v>0</v>
      </c>
      <c r="O56" s="119">
        <f t="shared" si="56"/>
        <v>100</v>
      </c>
      <c r="P56" s="116">
        <f t="shared" si="51"/>
        <v>292.3</v>
      </c>
      <c r="Q56" s="118">
        <f t="shared" si="48"/>
        <v>-146.16400000000002</v>
      </c>
      <c r="R56" s="119">
        <f t="shared" si="57"/>
        <v>49.995210400273685</v>
      </c>
      <c r="S56" s="119">
        <f t="shared" si="23"/>
        <v>49.995210400273685</v>
      </c>
      <c r="T56" s="177">
        <v>146.136</v>
      </c>
      <c r="U56" s="118">
        <f t="shared" si="49"/>
        <v>0</v>
      </c>
      <c r="V56" s="119"/>
      <c r="AB56" s="192"/>
    </row>
    <row r="57" spans="1:28" s="42" customFormat="1" ht="77.25" x14ac:dyDescent="0.25">
      <c r="A57" s="41" t="s">
        <v>176</v>
      </c>
      <c r="B57" s="130" t="s">
        <v>194</v>
      </c>
      <c r="C57" s="100"/>
      <c r="D57" s="121">
        <v>2500</v>
      </c>
      <c r="E57" s="121">
        <f t="shared" si="58"/>
        <v>2500</v>
      </c>
      <c r="F57" s="177">
        <v>922.96100000000001</v>
      </c>
      <c r="G57" s="116">
        <v>0</v>
      </c>
      <c r="H57" s="116">
        <v>0</v>
      </c>
      <c r="I57" s="116">
        <v>0</v>
      </c>
      <c r="J57" s="116">
        <v>495.32100000000003</v>
      </c>
      <c r="K57" s="116">
        <f>415.779+11.861</f>
        <v>427.64</v>
      </c>
      <c r="L57" s="116">
        <v>0</v>
      </c>
      <c r="M57" s="117">
        <v>1134.761</v>
      </c>
      <c r="N57" s="118">
        <f t="shared" si="47"/>
        <v>-211.79999999999995</v>
      </c>
      <c r="O57" s="119">
        <f t="shared" si="56"/>
        <v>81.335276767530786</v>
      </c>
      <c r="P57" s="116">
        <f t="shared" si="51"/>
        <v>2500</v>
      </c>
      <c r="Q57" s="118">
        <f t="shared" si="48"/>
        <v>-1577.039</v>
      </c>
      <c r="R57" s="119">
        <f t="shared" si="57"/>
        <v>36.918440000000004</v>
      </c>
      <c r="S57" s="119">
        <f t="shared" si="23"/>
        <v>36.918440000000004</v>
      </c>
      <c r="T57" s="177">
        <v>0</v>
      </c>
      <c r="U57" s="118">
        <f t="shared" si="49"/>
        <v>922.96100000000001</v>
      </c>
      <c r="V57" s="119"/>
      <c r="AB57" s="192"/>
    </row>
    <row r="58" spans="1:28" s="42" customFormat="1" ht="77.25" x14ac:dyDescent="0.25">
      <c r="A58" s="41" t="s">
        <v>177</v>
      </c>
      <c r="B58" s="130" t="s">
        <v>169</v>
      </c>
      <c r="C58" s="100"/>
      <c r="D58" s="121">
        <v>0</v>
      </c>
      <c r="E58" s="121">
        <f t="shared" si="58"/>
        <v>0</v>
      </c>
      <c r="F58" s="177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7">
        <v>0</v>
      </c>
      <c r="N58" s="118">
        <f t="shared" si="47"/>
        <v>0</v>
      </c>
      <c r="O58" s="119"/>
      <c r="P58" s="116">
        <f t="shared" si="51"/>
        <v>0</v>
      </c>
      <c r="Q58" s="118">
        <f t="shared" si="48"/>
        <v>0</v>
      </c>
      <c r="R58" s="119"/>
      <c r="S58" s="119"/>
      <c r="T58" s="177">
        <v>629.82400000000007</v>
      </c>
      <c r="U58" s="118">
        <f t="shared" si="49"/>
        <v>-629.82400000000007</v>
      </c>
      <c r="V58" s="119"/>
      <c r="AB58" s="192"/>
    </row>
    <row r="59" spans="1:28" s="42" customFormat="1" ht="171.75" x14ac:dyDescent="0.25">
      <c r="A59" s="41" t="s">
        <v>178</v>
      </c>
      <c r="B59" s="130" t="s">
        <v>195</v>
      </c>
      <c r="C59" s="100"/>
      <c r="D59" s="121">
        <v>0</v>
      </c>
      <c r="E59" s="121">
        <f t="shared" si="58"/>
        <v>0</v>
      </c>
      <c r="F59" s="17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6">
        <v>0</v>
      </c>
      <c r="M59" s="117">
        <v>0</v>
      </c>
      <c r="N59" s="118">
        <f t="shared" si="47"/>
        <v>0</v>
      </c>
      <c r="O59" s="119"/>
      <c r="P59" s="116">
        <f t="shared" si="51"/>
        <v>0</v>
      </c>
      <c r="Q59" s="118">
        <f t="shared" si="48"/>
        <v>0</v>
      </c>
      <c r="R59" s="119"/>
      <c r="S59" s="119"/>
      <c r="T59" s="177">
        <v>25</v>
      </c>
      <c r="U59" s="118">
        <f t="shared" si="49"/>
        <v>-25</v>
      </c>
      <c r="V59" s="119"/>
      <c r="AB59" s="192"/>
    </row>
    <row r="60" spans="1:28" s="54" customFormat="1" ht="22.5" x14ac:dyDescent="0.3">
      <c r="A60" s="50"/>
      <c r="B60" s="55" t="s">
        <v>28</v>
      </c>
      <c r="C60" s="165"/>
      <c r="D60" s="53">
        <f>D63+D62</f>
        <v>909311.34</v>
      </c>
      <c r="E60" s="53">
        <f>E63+E62</f>
        <v>820416.84</v>
      </c>
      <c r="F60" s="46">
        <v>508206.23099999991</v>
      </c>
      <c r="G60" s="53">
        <f t="shared" ref="G60:M60" si="60">G63+G62</f>
        <v>69678.231999999989</v>
      </c>
      <c r="H60" s="53">
        <f t="shared" si="60"/>
        <v>69894.97</v>
      </c>
      <c r="I60" s="53">
        <f t="shared" si="60"/>
        <v>69828.259999999995</v>
      </c>
      <c r="J60" s="53">
        <f t="shared" si="60"/>
        <v>70661.349999999991</v>
      </c>
      <c r="K60" s="53">
        <f t="shared" ref="K60" si="61">K63+K62</f>
        <v>87818.024999999994</v>
      </c>
      <c r="L60" s="53">
        <f t="shared" si="60"/>
        <v>140325.394</v>
      </c>
      <c r="M60" s="53">
        <f t="shared" si="60"/>
        <v>508732.65600000002</v>
      </c>
      <c r="N60" s="87">
        <f>F60-M60</f>
        <v>-526.42500000010477</v>
      </c>
      <c r="O60" s="88">
        <f>F60/M60*100</f>
        <v>99.896522270825074</v>
      </c>
      <c r="P60" s="53">
        <f>P63+P62</f>
        <v>820416.84</v>
      </c>
      <c r="Q60" s="87">
        <f>F60-P60</f>
        <v>-312210.60900000005</v>
      </c>
      <c r="R60" s="88">
        <f>F60/P60*100</f>
        <v>61.94488048295058</v>
      </c>
      <c r="S60" s="88">
        <f t="shared" si="23"/>
        <v>61.94488048295058</v>
      </c>
      <c r="T60" s="46">
        <f>T63+T62</f>
        <v>441194.22000000009</v>
      </c>
      <c r="U60" s="87">
        <f>F60-T60</f>
        <v>67012.010999999824</v>
      </c>
      <c r="V60" s="88">
        <f>F60/T60*100</f>
        <v>115.18877808508003</v>
      </c>
      <c r="AB60" s="192"/>
    </row>
    <row r="61" spans="1:28" s="13" customFormat="1" ht="23.25" x14ac:dyDescent="0.25">
      <c r="A61" s="12"/>
      <c r="B61" s="149" t="s">
        <v>98</v>
      </c>
      <c r="C61" s="11"/>
      <c r="D61" s="122"/>
      <c r="E61" s="122"/>
      <c r="F61" s="178"/>
      <c r="G61" s="122"/>
      <c r="H61" s="122"/>
      <c r="I61" s="122"/>
      <c r="J61" s="122"/>
      <c r="K61" s="122"/>
      <c r="L61" s="122"/>
      <c r="M61" s="122"/>
      <c r="N61" s="114"/>
      <c r="O61" s="115"/>
      <c r="P61" s="122"/>
      <c r="Q61" s="87"/>
      <c r="R61" s="88"/>
      <c r="S61" s="88"/>
      <c r="T61" s="178"/>
      <c r="U61" s="87"/>
      <c r="V61" s="88"/>
      <c r="AB61" s="192"/>
    </row>
    <row r="62" spans="1:28" s="13" customFormat="1" ht="40.5" x14ac:dyDescent="0.25">
      <c r="A62" s="12"/>
      <c r="B62" s="164" t="s">
        <v>113</v>
      </c>
      <c r="C62" s="26"/>
      <c r="D62" s="53">
        <f>D49</f>
        <v>29000</v>
      </c>
      <c r="E62" s="53">
        <f>E49</f>
        <v>29000</v>
      </c>
      <c r="F62" s="46">
        <v>14500.2</v>
      </c>
      <c r="G62" s="53">
        <f t="shared" ref="G62:M62" si="62">G49</f>
        <v>2416.6999999999998</v>
      </c>
      <c r="H62" s="53">
        <f t="shared" si="62"/>
        <v>2416.6999999999998</v>
      </c>
      <c r="I62" s="53">
        <f t="shared" si="62"/>
        <v>2416.6999999999998</v>
      </c>
      <c r="J62" s="53">
        <f t="shared" si="62"/>
        <v>2416.6999999999998</v>
      </c>
      <c r="K62" s="53">
        <f t="shared" ref="K62" si="63">K49</f>
        <v>2416.6999999999998</v>
      </c>
      <c r="L62" s="53">
        <f t="shared" si="62"/>
        <v>2416.6999999999998</v>
      </c>
      <c r="M62" s="53">
        <f t="shared" si="62"/>
        <v>14500.2</v>
      </c>
      <c r="N62" s="87">
        <f>F62-M62</f>
        <v>0</v>
      </c>
      <c r="O62" s="88">
        <f>F62/M62*100</f>
        <v>100</v>
      </c>
      <c r="P62" s="53">
        <f>P49</f>
        <v>29000</v>
      </c>
      <c r="Q62" s="87">
        <f>F62-P62</f>
        <v>-14499.8</v>
      </c>
      <c r="R62" s="88">
        <f>F62/P62*100</f>
        <v>50.000689655172415</v>
      </c>
      <c r="S62" s="88">
        <f t="shared" si="23"/>
        <v>50.000689655172415</v>
      </c>
      <c r="T62" s="46">
        <f>T49</f>
        <v>0</v>
      </c>
      <c r="U62" s="87">
        <f>F62-T62</f>
        <v>14500.2</v>
      </c>
      <c r="V62" s="88"/>
      <c r="AB62" s="192"/>
    </row>
    <row r="63" spans="1:28" s="13" customFormat="1" ht="22.5" x14ac:dyDescent="0.25">
      <c r="A63" s="12"/>
      <c r="B63" s="164" t="s">
        <v>71</v>
      </c>
      <c r="C63" s="26"/>
      <c r="D63" s="53">
        <f>D64+D65</f>
        <v>880311.34</v>
      </c>
      <c r="E63" s="53">
        <f>E64+E65</f>
        <v>791416.84</v>
      </c>
      <c r="F63" s="46">
        <v>493706.03099999996</v>
      </c>
      <c r="G63" s="53">
        <f t="shared" ref="G63:M63" si="64">G64+G65</f>
        <v>67261.531999999992</v>
      </c>
      <c r="H63" s="53">
        <f t="shared" si="64"/>
        <v>67478.27</v>
      </c>
      <c r="I63" s="53">
        <f t="shared" si="64"/>
        <v>67411.56</v>
      </c>
      <c r="J63" s="53">
        <f t="shared" si="64"/>
        <v>68244.649999999994</v>
      </c>
      <c r="K63" s="53">
        <f t="shared" ref="K63" si="65">K64+K65</f>
        <v>85401.324999999997</v>
      </c>
      <c r="L63" s="53">
        <f t="shared" si="64"/>
        <v>137908.69399999999</v>
      </c>
      <c r="M63" s="53">
        <f t="shared" si="64"/>
        <v>494232.45600000001</v>
      </c>
      <c r="N63" s="87">
        <f>F63-M63</f>
        <v>-526.42500000004657</v>
      </c>
      <c r="O63" s="88">
        <f>F63/M63*100</f>
        <v>99.893486355740251</v>
      </c>
      <c r="P63" s="53">
        <f>P64+P65</f>
        <v>791416.84</v>
      </c>
      <c r="Q63" s="87">
        <f>F63-P63</f>
        <v>-297710.80900000001</v>
      </c>
      <c r="R63" s="88">
        <f>F63/P63*100</f>
        <v>62.382553168820621</v>
      </c>
      <c r="S63" s="88">
        <f t="shared" si="23"/>
        <v>62.382553168820621</v>
      </c>
      <c r="T63" s="46">
        <f>T64+T65</f>
        <v>441194.22000000009</v>
      </c>
      <c r="U63" s="87">
        <f>F63-T63</f>
        <v>52511.810999999871</v>
      </c>
      <c r="V63" s="88">
        <f>F63/T63*100</f>
        <v>111.90219831075754</v>
      </c>
      <c r="AB63" s="192"/>
    </row>
    <row r="64" spans="1:28" s="8" customFormat="1" ht="23.25" x14ac:dyDescent="0.25">
      <c r="A64" s="14"/>
      <c r="B64" s="17" t="s">
        <v>102</v>
      </c>
      <c r="C64" s="17"/>
      <c r="D64" s="121">
        <f>D47</f>
        <v>855684.1</v>
      </c>
      <c r="E64" s="121">
        <f>E47</f>
        <v>770115.7</v>
      </c>
      <c r="F64" s="179">
        <v>481876.6</v>
      </c>
      <c r="G64" s="121">
        <f t="shared" ref="G64:M64" si="66">G47</f>
        <v>65887.7</v>
      </c>
      <c r="H64" s="121">
        <f t="shared" si="66"/>
        <v>65887.7</v>
      </c>
      <c r="I64" s="121">
        <f t="shared" si="66"/>
        <v>65887.7</v>
      </c>
      <c r="J64" s="121">
        <f t="shared" si="66"/>
        <v>65887.7</v>
      </c>
      <c r="K64" s="121">
        <f t="shared" ref="K64" si="67">K47</f>
        <v>83001.399999999994</v>
      </c>
      <c r="L64" s="121">
        <f t="shared" si="66"/>
        <v>135324.4</v>
      </c>
      <c r="M64" s="121">
        <f t="shared" si="66"/>
        <v>481876.6</v>
      </c>
      <c r="N64" s="118">
        <f>F64-M64</f>
        <v>0</v>
      </c>
      <c r="O64" s="119">
        <f>F64/M64*100</f>
        <v>100</v>
      </c>
      <c r="P64" s="121">
        <f>P47</f>
        <v>770115.7</v>
      </c>
      <c r="Q64" s="118">
        <f>F64-P64</f>
        <v>-288239.09999999998</v>
      </c>
      <c r="R64" s="119">
        <f>F64/P64*100</f>
        <v>62.571974574729481</v>
      </c>
      <c r="S64" s="119">
        <f t="shared" si="23"/>
        <v>62.571974574729481</v>
      </c>
      <c r="T64" s="179">
        <f>T47+T48</f>
        <v>420538.70000000007</v>
      </c>
      <c r="U64" s="118">
        <f>F64-T64</f>
        <v>61337.899999999907</v>
      </c>
      <c r="V64" s="119">
        <f>F64/T64*100</f>
        <v>114.58555419513112</v>
      </c>
      <c r="AB64" s="192"/>
    </row>
    <row r="65" spans="1:28" s="8" customFormat="1" ht="23.25" x14ac:dyDescent="0.25">
      <c r="A65" s="14"/>
      <c r="B65" s="150" t="s">
        <v>101</v>
      </c>
      <c r="C65" s="17"/>
      <c r="D65" s="121">
        <f>D50+D53+D51+D52</f>
        <v>24627.24</v>
      </c>
      <c r="E65" s="121">
        <f>E50+E53+E51+E52</f>
        <v>21301.14</v>
      </c>
      <c r="F65" s="179">
        <v>11829.430999999999</v>
      </c>
      <c r="G65" s="121">
        <f t="shared" ref="G65:M65" si="68">G50+G53+G51+G52</f>
        <v>1373.8319999999999</v>
      </c>
      <c r="H65" s="121">
        <f t="shared" si="68"/>
        <v>1590.57</v>
      </c>
      <c r="I65" s="121">
        <f t="shared" si="68"/>
        <v>1523.86</v>
      </c>
      <c r="J65" s="121">
        <f t="shared" si="68"/>
        <v>2356.9499999999998</v>
      </c>
      <c r="K65" s="121">
        <f t="shared" ref="K65" si="69">K50+K53+K51+K52</f>
        <v>2399.9250000000002</v>
      </c>
      <c r="L65" s="121">
        <f t="shared" si="68"/>
        <v>2584.2940000000003</v>
      </c>
      <c r="M65" s="121">
        <f t="shared" si="68"/>
        <v>12355.856</v>
      </c>
      <c r="N65" s="118">
        <f>F65-M65</f>
        <v>-526.42500000000109</v>
      </c>
      <c r="O65" s="119">
        <f>F65/M65*100</f>
        <v>95.739469608580734</v>
      </c>
      <c r="P65" s="121">
        <f>P50+P53+P51+P52</f>
        <v>21301.14</v>
      </c>
      <c r="Q65" s="118">
        <f>F65-P65</f>
        <v>-9471.7090000000007</v>
      </c>
      <c r="R65" s="119">
        <f>F65/P65*100</f>
        <v>55.534262485481989</v>
      </c>
      <c r="S65" s="119">
        <f t="shared" si="23"/>
        <v>55.534262485481989</v>
      </c>
      <c r="T65" s="179">
        <f>T50+T53+T51+T52</f>
        <v>20655.52</v>
      </c>
      <c r="U65" s="118">
        <f>F65-T65</f>
        <v>-8826.0890000000018</v>
      </c>
      <c r="V65" s="119">
        <f>F65/T65*100</f>
        <v>57.270071148051457</v>
      </c>
      <c r="AB65" s="192"/>
    </row>
    <row r="66" spans="1:28" s="8" customFormat="1" ht="23.25" x14ac:dyDescent="0.25">
      <c r="A66" s="14"/>
      <c r="B66" s="44"/>
      <c r="C66" s="17"/>
      <c r="D66" s="121"/>
      <c r="E66" s="121"/>
      <c r="F66" s="179"/>
      <c r="G66" s="121"/>
      <c r="H66" s="121"/>
      <c r="I66" s="121"/>
      <c r="J66" s="121"/>
      <c r="K66" s="121"/>
      <c r="L66" s="121"/>
      <c r="M66" s="121"/>
      <c r="N66" s="118"/>
      <c r="O66" s="119"/>
      <c r="P66" s="121"/>
      <c r="Q66" s="118"/>
      <c r="R66" s="119"/>
      <c r="S66" s="119"/>
      <c r="T66" s="179"/>
      <c r="U66" s="118"/>
      <c r="V66" s="119"/>
      <c r="AB66" s="192"/>
    </row>
    <row r="67" spans="1:28" s="142" customFormat="1" ht="40.5" customHeight="1" x14ac:dyDescent="0.3">
      <c r="A67" s="135"/>
      <c r="B67" s="136" t="s">
        <v>27</v>
      </c>
      <c r="C67" s="137"/>
      <c r="D67" s="138">
        <f>D60+D46</f>
        <v>5298771.3249999993</v>
      </c>
      <c r="E67" s="138">
        <f>E60+E46</f>
        <v>5209876.8250000002</v>
      </c>
      <c r="F67" s="138">
        <v>2587528.4529999997</v>
      </c>
      <c r="G67" s="138">
        <f t="shared" ref="G67:M67" si="70">G60+G46</f>
        <v>373217.95900000003</v>
      </c>
      <c r="H67" s="138">
        <f t="shared" si="70"/>
        <v>452498.94200000004</v>
      </c>
      <c r="I67" s="138">
        <f t="shared" si="70"/>
        <v>368762.511</v>
      </c>
      <c r="J67" s="138">
        <f t="shared" si="70"/>
        <v>396810.62299999996</v>
      </c>
      <c r="K67" s="138">
        <f t="shared" ref="K67" si="71">K60+K46</f>
        <v>472312.14099999995</v>
      </c>
      <c r="L67" s="138">
        <f t="shared" si="70"/>
        <v>523926.277</v>
      </c>
      <c r="M67" s="138">
        <f t="shared" si="70"/>
        <v>2519947.3109999998</v>
      </c>
      <c r="N67" s="139">
        <f>F67-M67</f>
        <v>67581.141999999993</v>
      </c>
      <c r="O67" s="140">
        <f>F67/M67*100</f>
        <v>102.6818474221662</v>
      </c>
      <c r="P67" s="138">
        <f>P60+P46</f>
        <v>3015146.8325</v>
      </c>
      <c r="Q67" s="139">
        <f>F67-P67</f>
        <v>-427618.37950000027</v>
      </c>
      <c r="R67" s="140">
        <f>F67/P67*100</f>
        <v>85.817659860185259</v>
      </c>
      <c r="S67" s="140">
        <f t="shared" si="23"/>
        <v>49.665827809662268</v>
      </c>
      <c r="T67" s="138">
        <f>T60+T46</f>
        <v>2174114.3660000004</v>
      </c>
      <c r="U67" s="139">
        <f>F67-T67</f>
        <v>413414.08699999936</v>
      </c>
      <c r="V67" s="140">
        <f>F67/T67*100</f>
        <v>119.01528702745343</v>
      </c>
      <c r="W67" s="138">
        <v>2174114.3659999999</v>
      </c>
      <c r="X67" s="141">
        <f>W67-T67</f>
        <v>0</v>
      </c>
      <c r="AA67" s="141">
        <f>2708373.649-M67</f>
        <v>188426.33800000045</v>
      </c>
      <c r="AB67" s="193"/>
    </row>
    <row r="68" spans="1:28" s="10" customFormat="1" ht="31.5" customHeight="1" x14ac:dyDescent="0.25">
      <c r="A68" s="200" t="s">
        <v>9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</row>
    <row r="69" spans="1:28" s="58" customFormat="1" ht="36" customHeight="1" x14ac:dyDescent="0.3">
      <c r="A69" s="24">
        <v>1</v>
      </c>
      <c r="B69" s="57" t="s">
        <v>12</v>
      </c>
      <c r="C69" s="25" t="s">
        <v>21</v>
      </c>
      <c r="D69" s="120">
        <f>D70+D71</f>
        <v>94437.012000000002</v>
      </c>
      <c r="E69" s="120">
        <f t="shared" ref="E69" si="72">D69</f>
        <v>94437.012000000002</v>
      </c>
      <c r="F69" s="176">
        <f t="shared" ref="F69:F103" si="73">SUM(G69:L69)</f>
        <v>76424.928</v>
      </c>
      <c r="G69" s="112">
        <f t="shared" ref="G69:M69" si="74">G70+G71</f>
        <v>6860.3910000000005</v>
      </c>
      <c r="H69" s="112">
        <f t="shared" ref="H69:K69" si="75">H70+H71</f>
        <v>7771.8059999999996</v>
      </c>
      <c r="I69" s="112">
        <f t="shared" si="75"/>
        <v>11164.861000000001</v>
      </c>
      <c r="J69" s="112">
        <f t="shared" si="75"/>
        <v>3259.9669999999996</v>
      </c>
      <c r="K69" s="112">
        <f t="shared" si="75"/>
        <v>9844.509</v>
      </c>
      <c r="L69" s="112">
        <f t="shared" si="74"/>
        <v>37523.394</v>
      </c>
      <c r="M69" s="113">
        <f t="shared" si="74"/>
        <v>47218.506000000001</v>
      </c>
      <c r="N69" s="114">
        <f t="shared" ref="N69:N84" si="76">F69-M69</f>
        <v>29206.421999999999</v>
      </c>
      <c r="O69" s="115">
        <f>F69/M69*100</f>
        <v>161.8537613197673</v>
      </c>
      <c r="P69" s="114">
        <f t="shared" ref="P69" si="77">P70+P71</f>
        <v>47218.506000000001</v>
      </c>
      <c r="Q69" s="114">
        <f t="shared" ref="Q69:Q84" si="78">F69-P69</f>
        <v>29206.421999999999</v>
      </c>
      <c r="R69" s="115">
        <f>F69/P69*100</f>
        <v>161.8537613197673</v>
      </c>
      <c r="S69" s="115">
        <f t="shared" si="23"/>
        <v>80.926880659883651</v>
      </c>
      <c r="T69" s="176">
        <f t="shared" ref="T69" si="79">T70+T71</f>
        <v>33853.069000000003</v>
      </c>
      <c r="U69" s="114">
        <f t="shared" ref="U69:U84" si="80">F69-T69</f>
        <v>42571.858999999997</v>
      </c>
      <c r="V69" s="115">
        <f>F69/T69*100</f>
        <v>225.75479936545779</v>
      </c>
      <c r="AB69" s="115">
        <v>72.3</v>
      </c>
    </row>
    <row r="70" spans="1:28" s="61" customFormat="1" ht="50.25" customHeight="1" x14ac:dyDescent="0.3">
      <c r="A70" s="41" t="s">
        <v>118</v>
      </c>
      <c r="B70" s="99" t="s">
        <v>114</v>
      </c>
      <c r="C70" s="17" t="s">
        <v>115</v>
      </c>
      <c r="D70" s="121">
        <v>94437.012000000002</v>
      </c>
      <c r="E70" s="121">
        <f>D70</f>
        <v>94437.012000000002</v>
      </c>
      <c r="F70" s="177">
        <f t="shared" si="73"/>
        <v>54329.047999999995</v>
      </c>
      <c r="G70" s="116">
        <v>5377.3590000000004</v>
      </c>
      <c r="H70" s="116">
        <v>6381.8329999999996</v>
      </c>
      <c r="I70" s="116">
        <v>2956.0810000000001</v>
      </c>
      <c r="J70" s="116">
        <v>2199.915</v>
      </c>
      <c r="K70" s="116">
        <v>2223.1080000000002</v>
      </c>
      <c r="L70" s="116">
        <v>35190.752</v>
      </c>
      <c r="M70" s="117">
        <v>47218.506000000001</v>
      </c>
      <c r="N70" s="118">
        <f t="shared" si="76"/>
        <v>7110.541999999994</v>
      </c>
      <c r="O70" s="119">
        <f>F70/M70*100</f>
        <v>115.05880342762221</v>
      </c>
      <c r="P70" s="118">
        <f>E70/12*6</f>
        <v>47218.506000000001</v>
      </c>
      <c r="Q70" s="118">
        <f t="shared" si="78"/>
        <v>7110.541999999994</v>
      </c>
      <c r="R70" s="119">
        <f>F70/P70*100</f>
        <v>115.05880342762221</v>
      </c>
      <c r="S70" s="119">
        <f t="shared" si="23"/>
        <v>57.529401713811104</v>
      </c>
      <c r="T70" s="177">
        <v>27848.054000000004</v>
      </c>
      <c r="U70" s="118">
        <f t="shared" si="80"/>
        <v>26480.993999999992</v>
      </c>
      <c r="V70" s="119">
        <f>F70/T70*100</f>
        <v>195.09100348627589</v>
      </c>
      <c r="AB70" s="119">
        <v>148.30000000000001</v>
      </c>
    </row>
    <row r="71" spans="1:28" s="61" customFormat="1" ht="39" x14ac:dyDescent="0.3">
      <c r="A71" s="41" t="s">
        <v>119</v>
      </c>
      <c r="B71" s="99" t="s">
        <v>116</v>
      </c>
      <c r="C71" s="17" t="s">
        <v>117</v>
      </c>
      <c r="D71" s="121">
        <v>0</v>
      </c>
      <c r="E71" s="121">
        <f>D71</f>
        <v>0</v>
      </c>
      <c r="F71" s="177">
        <f t="shared" si="73"/>
        <v>22095.879999999997</v>
      </c>
      <c r="G71" s="116">
        <v>1483.0319999999999</v>
      </c>
      <c r="H71" s="116">
        <v>1389.973</v>
      </c>
      <c r="I71" s="116">
        <v>8208.7800000000007</v>
      </c>
      <c r="J71" s="116">
        <v>1060.0519999999999</v>
      </c>
      <c r="K71" s="116">
        <v>7621.4009999999998</v>
      </c>
      <c r="L71" s="116">
        <v>2332.6419999999998</v>
      </c>
      <c r="M71" s="117">
        <v>0</v>
      </c>
      <c r="N71" s="118">
        <f t="shared" si="76"/>
        <v>22095.879999999997</v>
      </c>
      <c r="O71" s="119"/>
      <c r="P71" s="118"/>
      <c r="Q71" s="118">
        <f t="shared" si="78"/>
        <v>22095.879999999997</v>
      </c>
      <c r="R71" s="119"/>
      <c r="S71" s="119"/>
      <c r="T71" s="177">
        <v>6005.0150000000003</v>
      </c>
      <c r="U71" s="118">
        <f t="shared" si="80"/>
        <v>16090.864999999998</v>
      </c>
      <c r="V71" s="119">
        <f>F71/T71*100</f>
        <v>367.95711584400698</v>
      </c>
      <c r="AB71" s="119"/>
    </row>
    <row r="72" spans="1:28" s="58" customFormat="1" ht="60" customHeight="1" x14ac:dyDescent="0.3">
      <c r="A72" s="24">
        <v>2</v>
      </c>
      <c r="B72" s="111" t="s">
        <v>157</v>
      </c>
      <c r="C72" s="25" t="s">
        <v>155</v>
      </c>
      <c r="D72" s="120"/>
      <c r="E72" s="120"/>
      <c r="F72" s="176">
        <f t="shared" si="73"/>
        <v>38.006</v>
      </c>
      <c r="G72" s="112">
        <v>0</v>
      </c>
      <c r="H72" s="112">
        <v>38.006</v>
      </c>
      <c r="I72" s="112">
        <v>0</v>
      </c>
      <c r="J72" s="112">
        <v>0</v>
      </c>
      <c r="K72" s="112">
        <v>0</v>
      </c>
      <c r="L72" s="112">
        <v>0</v>
      </c>
      <c r="M72" s="113">
        <v>0</v>
      </c>
      <c r="N72" s="114">
        <f t="shared" si="76"/>
        <v>38.006</v>
      </c>
      <c r="O72" s="115"/>
      <c r="P72" s="114"/>
      <c r="Q72" s="114">
        <f t="shared" si="78"/>
        <v>38.006</v>
      </c>
      <c r="R72" s="115"/>
      <c r="S72" s="115"/>
      <c r="T72" s="176">
        <v>0</v>
      </c>
      <c r="U72" s="114">
        <f t="shared" si="80"/>
        <v>38.006</v>
      </c>
      <c r="V72" s="115"/>
      <c r="AB72" s="115"/>
    </row>
    <row r="73" spans="1:28" s="58" customFormat="1" ht="44.25" customHeight="1" x14ac:dyDescent="0.3">
      <c r="A73" s="24">
        <v>3</v>
      </c>
      <c r="B73" s="111" t="s">
        <v>31</v>
      </c>
      <c r="C73" s="25" t="s">
        <v>30</v>
      </c>
      <c r="D73" s="120">
        <v>2313.6999999999998</v>
      </c>
      <c r="E73" s="120">
        <f>D73</f>
        <v>2313.6999999999998</v>
      </c>
      <c r="F73" s="176">
        <f t="shared" si="73"/>
        <v>1188.1570000000002</v>
      </c>
      <c r="G73" s="112">
        <v>12.451000000000001</v>
      </c>
      <c r="H73" s="112">
        <v>361.55</v>
      </c>
      <c r="I73" s="112">
        <v>86.131</v>
      </c>
      <c r="J73" s="112">
        <v>210.38200000000001</v>
      </c>
      <c r="K73" s="112">
        <v>436.82900000000001</v>
      </c>
      <c r="L73" s="112">
        <v>80.813999999999993</v>
      </c>
      <c r="M73" s="113">
        <v>1104.7059999999999</v>
      </c>
      <c r="N73" s="114">
        <f t="shared" si="76"/>
        <v>83.451000000000249</v>
      </c>
      <c r="O73" s="115">
        <f>F73/M73*100</f>
        <v>107.55413657570432</v>
      </c>
      <c r="P73" s="114">
        <f>E73/12*6</f>
        <v>1156.8499999999999</v>
      </c>
      <c r="Q73" s="114">
        <f t="shared" si="78"/>
        <v>31.307000000000244</v>
      </c>
      <c r="R73" s="115">
        <f t="shared" ref="R73:R79" si="81">F73/P73*100</f>
        <v>102.70622811946235</v>
      </c>
      <c r="S73" s="115">
        <f>F73/E73*100</f>
        <v>51.353114059731176</v>
      </c>
      <c r="T73" s="176">
        <v>952.02300000000002</v>
      </c>
      <c r="U73" s="114">
        <f t="shared" si="80"/>
        <v>236.13400000000013</v>
      </c>
      <c r="V73" s="115">
        <f>F73/T73*100</f>
        <v>124.80339235501665</v>
      </c>
      <c r="AB73" s="115">
        <v>110</v>
      </c>
    </row>
    <row r="74" spans="1:28" s="58" customFormat="1" ht="58.5" x14ac:dyDescent="0.3">
      <c r="A74" s="24">
        <v>4</v>
      </c>
      <c r="B74" s="111" t="s">
        <v>158</v>
      </c>
      <c r="C74" s="25" t="s">
        <v>156</v>
      </c>
      <c r="D74" s="120"/>
      <c r="E74" s="120">
        <f t="shared" ref="E74:E77" si="82">D74</f>
        <v>0</v>
      </c>
      <c r="F74" s="176">
        <f t="shared" si="73"/>
        <v>0.46499999999999997</v>
      </c>
      <c r="G74" s="112">
        <v>0</v>
      </c>
      <c r="H74" s="112">
        <v>0.36</v>
      </c>
      <c r="I74" s="112">
        <v>0.105</v>
      </c>
      <c r="J74" s="112">
        <v>0</v>
      </c>
      <c r="K74" s="112">
        <v>0</v>
      </c>
      <c r="L74" s="112">
        <v>0</v>
      </c>
      <c r="M74" s="113">
        <v>0</v>
      </c>
      <c r="N74" s="114">
        <f t="shared" si="76"/>
        <v>0.46499999999999997</v>
      </c>
      <c r="O74" s="115"/>
      <c r="P74" s="114"/>
      <c r="Q74" s="114">
        <f t="shared" si="78"/>
        <v>0.46499999999999997</v>
      </c>
      <c r="R74" s="115"/>
      <c r="S74" s="115"/>
      <c r="T74" s="176">
        <v>0</v>
      </c>
      <c r="U74" s="114">
        <f t="shared" si="80"/>
        <v>0.46499999999999997</v>
      </c>
      <c r="V74" s="115"/>
      <c r="AB74" s="115"/>
    </row>
    <row r="75" spans="1:28" s="58" customFormat="1" ht="58.5" x14ac:dyDescent="0.3">
      <c r="A75" s="24">
        <v>5</v>
      </c>
      <c r="B75" s="111" t="s">
        <v>84</v>
      </c>
      <c r="C75" s="25">
        <v>21110000</v>
      </c>
      <c r="D75" s="120">
        <v>110</v>
      </c>
      <c r="E75" s="120">
        <f t="shared" si="82"/>
        <v>110</v>
      </c>
      <c r="F75" s="176">
        <f t="shared" si="73"/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3">
        <v>0</v>
      </c>
      <c r="N75" s="114">
        <f t="shared" si="76"/>
        <v>0</v>
      </c>
      <c r="O75" s="115"/>
      <c r="P75" s="114">
        <f>E75/12*6</f>
        <v>55</v>
      </c>
      <c r="Q75" s="114">
        <f t="shared" si="78"/>
        <v>-55</v>
      </c>
      <c r="R75" s="115">
        <f t="shared" si="81"/>
        <v>0</v>
      </c>
      <c r="S75" s="115">
        <f t="shared" ref="S75:S93" si="83">F75/E75*100</f>
        <v>0</v>
      </c>
      <c r="T75" s="176">
        <v>39.936999999999998</v>
      </c>
      <c r="U75" s="114">
        <f t="shared" si="80"/>
        <v>-39.936999999999998</v>
      </c>
      <c r="V75" s="115"/>
      <c r="AB75" s="115">
        <v>58.3</v>
      </c>
    </row>
    <row r="76" spans="1:28" s="58" customFormat="1" ht="78" x14ac:dyDescent="0.3">
      <c r="A76" s="24">
        <f t="shared" ref="A76:A78" si="84">A75+1</f>
        <v>6</v>
      </c>
      <c r="B76" s="57" t="s">
        <v>26</v>
      </c>
      <c r="C76" s="25" t="s">
        <v>25</v>
      </c>
      <c r="D76" s="120">
        <v>20</v>
      </c>
      <c r="E76" s="120">
        <f t="shared" si="82"/>
        <v>20</v>
      </c>
      <c r="F76" s="176">
        <f t="shared" si="73"/>
        <v>14.481</v>
      </c>
      <c r="G76" s="112">
        <v>11.72</v>
      </c>
      <c r="H76" s="112">
        <v>2.343</v>
      </c>
      <c r="I76" s="112">
        <v>0</v>
      </c>
      <c r="J76" s="112">
        <v>0</v>
      </c>
      <c r="K76" s="112">
        <v>0.41799999999999998</v>
      </c>
      <c r="L76" s="112">
        <v>0</v>
      </c>
      <c r="M76" s="113">
        <v>14.481</v>
      </c>
      <c r="N76" s="114">
        <f t="shared" si="76"/>
        <v>0</v>
      </c>
      <c r="O76" s="115">
        <f>F76/M76*100</f>
        <v>100</v>
      </c>
      <c r="P76" s="114">
        <f>E76/12*6</f>
        <v>10</v>
      </c>
      <c r="Q76" s="114">
        <f t="shared" si="78"/>
        <v>4.4809999999999999</v>
      </c>
      <c r="R76" s="115">
        <f t="shared" si="81"/>
        <v>144.81</v>
      </c>
      <c r="S76" s="115">
        <f t="shared" si="83"/>
        <v>72.405000000000001</v>
      </c>
      <c r="T76" s="176">
        <v>147.15599999999998</v>
      </c>
      <c r="U76" s="114">
        <f t="shared" si="80"/>
        <v>-132.67499999999998</v>
      </c>
      <c r="V76" s="115">
        <f>F76/T76*100</f>
        <v>9.8405773464894413</v>
      </c>
      <c r="AB76" s="115">
        <v>8.3000000000000007</v>
      </c>
    </row>
    <row r="77" spans="1:28" s="58" customFormat="1" ht="78" x14ac:dyDescent="0.3">
      <c r="A77" s="24">
        <f t="shared" si="84"/>
        <v>7</v>
      </c>
      <c r="B77" s="57" t="s">
        <v>65</v>
      </c>
      <c r="C77" s="25" t="s">
        <v>66</v>
      </c>
      <c r="D77" s="120">
        <v>0</v>
      </c>
      <c r="E77" s="120">
        <f t="shared" si="82"/>
        <v>0</v>
      </c>
      <c r="F77" s="176">
        <f t="shared" si="73"/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3">
        <v>0</v>
      </c>
      <c r="N77" s="114">
        <f t="shared" si="76"/>
        <v>0</v>
      </c>
      <c r="O77" s="115"/>
      <c r="P77" s="114"/>
      <c r="Q77" s="114">
        <f t="shared" si="78"/>
        <v>0</v>
      </c>
      <c r="R77" s="115"/>
      <c r="S77" s="115"/>
      <c r="T77" s="176">
        <v>0.13500000000000001</v>
      </c>
      <c r="U77" s="114">
        <f t="shared" si="80"/>
        <v>-0.13500000000000001</v>
      </c>
      <c r="V77" s="115"/>
      <c r="AB77" s="115"/>
    </row>
    <row r="78" spans="1:28" s="32" customFormat="1" ht="39.75" customHeight="1" x14ac:dyDescent="0.3">
      <c r="A78" s="12">
        <f t="shared" si="84"/>
        <v>8</v>
      </c>
      <c r="B78" s="16" t="s">
        <v>10</v>
      </c>
      <c r="C78" s="9"/>
      <c r="D78" s="53">
        <f>SUM(D79:D82)</f>
        <v>69003.199999999997</v>
      </c>
      <c r="E78" s="53">
        <f>SUM(E79:E82)</f>
        <v>69003.199999999997</v>
      </c>
      <c r="F78" s="46">
        <f t="shared" si="73"/>
        <v>21875.955000000002</v>
      </c>
      <c r="G78" s="53">
        <f t="shared" ref="G78:M78" si="85">SUM(G79:G82)</f>
        <v>7157.3879999999999</v>
      </c>
      <c r="H78" s="53">
        <f t="shared" si="85"/>
        <v>8333.3260000000009</v>
      </c>
      <c r="I78" s="53">
        <f t="shared" si="85"/>
        <v>847.39499999999998</v>
      </c>
      <c r="J78" s="53">
        <f t="shared" si="85"/>
        <v>575.39599999999996</v>
      </c>
      <c r="K78" s="53">
        <f t="shared" ref="K78" si="86">SUM(K79:K82)</f>
        <v>1579.5550000000001</v>
      </c>
      <c r="L78" s="53">
        <f t="shared" si="85"/>
        <v>3382.8950000000004</v>
      </c>
      <c r="M78" s="53">
        <f t="shared" si="85"/>
        <v>21081.991000000002</v>
      </c>
      <c r="N78" s="53">
        <f t="shared" si="76"/>
        <v>793.96399999999994</v>
      </c>
      <c r="O78" s="88">
        <f>F78/M78*100</f>
        <v>103.76607693267681</v>
      </c>
      <c r="P78" s="53">
        <f>SUM(P79:P82)</f>
        <v>34501.600000000006</v>
      </c>
      <c r="Q78" s="87">
        <f t="shared" si="78"/>
        <v>-12625.645000000004</v>
      </c>
      <c r="R78" s="88">
        <f t="shared" si="81"/>
        <v>63.405624666682115</v>
      </c>
      <c r="S78" s="88">
        <f t="shared" si="83"/>
        <v>31.702812333341068</v>
      </c>
      <c r="T78" s="46">
        <f>SUM(T79:T82)</f>
        <v>44174.277000000002</v>
      </c>
      <c r="U78" s="87">
        <f t="shared" si="80"/>
        <v>-22298.322</v>
      </c>
      <c r="V78" s="88">
        <f t="shared" ref="V78:V84" si="87">F78/T78*100</f>
        <v>49.521931055034585</v>
      </c>
      <c r="W78" s="59"/>
      <c r="AB78" s="88">
        <v>67.8</v>
      </c>
    </row>
    <row r="79" spans="1:28" s="61" customFormat="1" ht="58.5" x14ac:dyDescent="0.3">
      <c r="A79" s="14" t="s">
        <v>159</v>
      </c>
      <c r="B79" s="99" t="s">
        <v>140</v>
      </c>
      <c r="C79" s="17" t="s">
        <v>63</v>
      </c>
      <c r="D79" s="121">
        <v>3.2</v>
      </c>
      <c r="E79" s="121">
        <f t="shared" ref="E79:E83" si="88">D79</f>
        <v>3.2</v>
      </c>
      <c r="F79" s="177">
        <f t="shared" si="73"/>
        <v>1</v>
      </c>
      <c r="G79" s="116">
        <v>0</v>
      </c>
      <c r="H79" s="116">
        <v>0</v>
      </c>
      <c r="I79" s="116">
        <v>0</v>
      </c>
      <c r="J79" s="116">
        <v>0</v>
      </c>
      <c r="K79" s="116">
        <v>0</v>
      </c>
      <c r="L79" s="116">
        <v>1</v>
      </c>
      <c r="M79" s="117">
        <v>1</v>
      </c>
      <c r="N79" s="118">
        <f t="shared" si="76"/>
        <v>0</v>
      </c>
      <c r="O79" s="119">
        <f t="shared" ref="O79:O80" si="89">F79/M79*100</f>
        <v>100</v>
      </c>
      <c r="P79" s="118">
        <f>E79/12*6</f>
        <v>1.6</v>
      </c>
      <c r="Q79" s="118">
        <f t="shared" si="78"/>
        <v>-0.60000000000000009</v>
      </c>
      <c r="R79" s="119">
        <f t="shared" si="81"/>
        <v>62.5</v>
      </c>
      <c r="S79" s="119">
        <f t="shared" si="83"/>
        <v>31.25</v>
      </c>
      <c r="T79" s="177">
        <v>2.2000000000000002</v>
      </c>
      <c r="U79" s="118">
        <f t="shared" si="80"/>
        <v>-1.2000000000000002</v>
      </c>
      <c r="V79" s="119">
        <f t="shared" si="87"/>
        <v>45.454545454545453</v>
      </c>
      <c r="AB79" s="119">
        <v>100</v>
      </c>
    </row>
    <row r="80" spans="1:28" s="61" customFormat="1" ht="59.25" customHeight="1" x14ac:dyDescent="0.3">
      <c r="A80" s="14" t="s">
        <v>160</v>
      </c>
      <c r="B80" s="99" t="s">
        <v>149</v>
      </c>
      <c r="C80" s="17" t="s">
        <v>44</v>
      </c>
      <c r="D80" s="121">
        <v>0</v>
      </c>
      <c r="E80" s="121">
        <v>823.6</v>
      </c>
      <c r="F80" s="177">
        <f t="shared" si="73"/>
        <v>1067.0920000000001</v>
      </c>
      <c r="G80" s="116">
        <v>12.75</v>
      </c>
      <c r="H80" s="116">
        <v>807.42100000000005</v>
      </c>
      <c r="I80" s="116">
        <v>3.4470000000000001</v>
      </c>
      <c r="J80" s="116">
        <v>0</v>
      </c>
      <c r="K80" s="116">
        <v>0</v>
      </c>
      <c r="L80" s="116">
        <v>243.47399999999999</v>
      </c>
      <c r="M80" s="117">
        <v>823.6</v>
      </c>
      <c r="N80" s="118">
        <f t="shared" si="76"/>
        <v>243.49200000000008</v>
      </c>
      <c r="O80" s="119">
        <f t="shared" si="89"/>
        <v>129.56435162700342</v>
      </c>
      <c r="P80" s="118">
        <f>E80/12*6</f>
        <v>411.80000000000007</v>
      </c>
      <c r="Q80" s="118">
        <f t="shared" si="78"/>
        <v>655.29200000000003</v>
      </c>
      <c r="R80" s="119">
        <f>F80/P80*100</f>
        <v>259.12870325400678</v>
      </c>
      <c r="S80" s="119">
        <f t="shared" ref="S80" si="90">F80/E80*100</f>
        <v>129.56435162700342</v>
      </c>
      <c r="T80" s="177">
        <v>10734.233</v>
      </c>
      <c r="U80" s="118">
        <f t="shared" si="80"/>
        <v>-9667.1409999999996</v>
      </c>
      <c r="V80" s="119">
        <f t="shared" si="87"/>
        <v>9.9410176768102581</v>
      </c>
      <c r="W80" s="61">
        <v>-8026.875</v>
      </c>
      <c r="AB80" s="119"/>
    </row>
    <row r="81" spans="1:28" s="61" customFormat="1" ht="39" x14ac:dyDescent="0.3">
      <c r="A81" s="14" t="s">
        <v>161</v>
      </c>
      <c r="B81" s="99" t="s">
        <v>36</v>
      </c>
      <c r="C81" s="17" t="s">
        <v>22</v>
      </c>
      <c r="D81" s="121">
        <v>19000</v>
      </c>
      <c r="E81" s="121">
        <f t="shared" si="88"/>
        <v>19000</v>
      </c>
      <c r="F81" s="177">
        <f t="shared" si="73"/>
        <v>8792.991</v>
      </c>
      <c r="G81" s="116">
        <v>3.9</v>
      </c>
      <c r="H81" s="116">
        <v>6190.4620000000004</v>
      </c>
      <c r="I81" s="116">
        <v>380.21600000000001</v>
      </c>
      <c r="J81" s="116">
        <v>0</v>
      </c>
      <c r="K81" s="116">
        <v>400</v>
      </c>
      <c r="L81" s="116">
        <v>1818.413</v>
      </c>
      <c r="M81" s="117">
        <v>8791</v>
      </c>
      <c r="N81" s="118">
        <f t="shared" si="76"/>
        <v>1.9909999999999854</v>
      </c>
      <c r="O81" s="119">
        <f>F81/M81*100</f>
        <v>100.02264816289387</v>
      </c>
      <c r="P81" s="118">
        <f t="shared" ref="P81:P83" si="91">E81/12*6</f>
        <v>9500</v>
      </c>
      <c r="Q81" s="118">
        <f t="shared" si="78"/>
        <v>-707.00900000000001</v>
      </c>
      <c r="R81" s="119">
        <f>F81/P81*100</f>
        <v>92.5578</v>
      </c>
      <c r="S81" s="119">
        <f t="shared" si="83"/>
        <v>46.2789</v>
      </c>
      <c r="T81" s="177">
        <v>11648.587</v>
      </c>
      <c r="U81" s="118">
        <f t="shared" si="80"/>
        <v>-2855.5959999999995</v>
      </c>
      <c r="V81" s="119">
        <f t="shared" si="87"/>
        <v>75.485473044928113</v>
      </c>
      <c r="AB81" s="119">
        <v>105.1</v>
      </c>
    </row>
    <row r="82" spans="1:28" s="60" customFormat="1" ht="36.75" customHeight="1" x14ac:dyDescent="0.3">
      <c r="A82" s="14" t="s">
        <v>162</v>
      </c>
      <c r="B82" s="44" t="s">
        <v>67</v>
      </c>
      <c r="C82" s="17" t="s">
        <v>42</v>
      </c>
      <c r="D82" s="121">
        <v>50000</v>
      </c>
      <c r="E82" s="121">
        <v>49176.4</v>
      </c>
      <c r="F82" s="179">
        <f t="shared" si="73"/>
        <v>12014.872000000001</v>
      </c>
      <c r="G82" s="121">
        <v>7140.7380000000003</v>
      </c>
      <c r="H82" s="121">
        <v>1335.443</v>
      </c>
      <c r="I82" s="121">
        <v>463.73200000000003</v>
      </c>
      <c r="J82" s="121">
        <v>575.39599999999996</v>
      </c>
      <c r="K82" s="121">
        <v>1179.5550000000001</v>
      </c>
      <c r="L82" s="121">
        <v>1320.008</v>
      </c>
      <c r="M82" s="121">
        <v>11466.391</v>
      </c>
      <c r="N82" s="118">
        <f t="shared" si="76"/>
        <v>548.48100000000159</v>
      </c>
      <c r="O82" s="119">
        <f>F82/M82*100</f>
        <v>104.7833795306649</v>
      </c>
      <c r="P82" s="118">
        <f t="shared" si="91"/>
        <v>24588.200000000004</v>
      </c>
      <c r="Q82" s="118">
        <f t="shared" si="78"/>
        <v>-12573.328000000003</v>
      </c>
      <c r="R82" s="119">
        <f>F82/P82*100</f>
        <v>48.864382101983871</v>
      </c>
      <c r="S82" s="119">
        <f t="shared" si="83"/>
        <v>24.432191050991943</v>
      </c>
      <c r="T82" s="179">
        <v>21789.256999999998</v>
      </c>
      <c r="U82" s="118">
        <f t="shared" si="80"/>
        <v>-9774.3849999999966</v>
      </c>
      <c r="V82" s="119">
        <f t="shared" si="87"/>
        <v>55.141265257461527</v>
      </c>
      <c r="AB82" s="119">
        <v>78.3</v>
      </c>
    </row>
    <row r="83" spans="1:28" s="58" customFormat="1" ht="39" x14ac:dyDescent="0.3">
      <c r="A83" s="24">
        <v>9</v>
      </c>
      <c r="B83" s="111" t="s">
        <v>11</v>
      </c>
      <c r="C83" s="25" t="s">
        <v>23</v>
      </c>
      <c r="D83" s="120">
        <v>6090</v>
      </c>
      <c r="E83" s="120">
        <f t="shared" si="88"/>
        <v>6090</v>
      </c>
      <c r="F83" s="176">
        <f t="shared" si="73"/>
        <v>2546.942</v>
      </c>
      <c r="G83" s="112">
        <v>783.11300000000006</v>
      </c>
      <c r="H83" s="112">
        <v>689.47400000000005</v>
      </c>
      <c r="I83" s="112">
        <v>223.41900000000001</v>
      </c>
      <c r="J83" s="112">
        <v>278.96499999999997</v>
      </c>
      <c r="K83" s="112">
        <v>308.18299999999999</v>
      </c>
      <c r="L83" s="112">
        <v>263.78800000000001</v>
      </c>
      <c r="M83" s="113">
        <v>2531</v>
      </c>
      <c r="N83" s="114">
        <f t="shared" si="76"/>
        <v>15.942000000000007</v>
      </c>
      <c r="O83" s="115">
        <f>F83/M83*100</f>
        <v>100.62986961675226</v>
      </c>
      <c r="P83" s="114">
        <f t="shared" si="91"/>
        <v>3045</v>
      </c>
      <c r="Q83" s="114">
        <f t="shared" si="78"/>
        <v>-498.05799999999999</v>
      </c>
      <c r="R83" s="115">
        <f>F83/P83*100</f>
        <v>83.643415435139573</v>
      </c>
      <c r="S83" s="115">
        <f t="shared" si="83"/>
        <v>41.821707717569787</v>
      </c>
      <c r="T83" s="176">
        <v>3642.0360000000001</v>
      </c>
      <c r="U83" s="114">
        <f t="shared" si="80"/>
        <v>-1095.0940000000001</v>
      </c>
      <c r="V83" s="115">
        <f t="shared" si="87"/>
        <v>69.931818356545634</v>
      </c>
      <c r="AB83" s="115">
        <v>59.3</v>
      </c>
    </row>
    <row r="84" spans="1:28" s="49" customFormat="1" ht="35.25" customHeight="1" x14ac:dyDescent="0.3">
      <c r="A84" s="47"/>
      <c r="B84" s="81" t="s">
        <v>151</v>
      </c>
      <c r="C84" s="48"/>
      <c r="D84" s="46">
        <f>D69+D73+D76+D77+D79+D80+D81+D82+D83+D75</f>
        <v>171973.91200000001</v>
      </c>
      <c r="E84" s="46">
        <f>E69+E73+E76+E77+E79+E80+E81+E82+E83+E75</f>
        <v>171973.91200000001</v>
      </c>
      <c r="F84" s="46">
        <f t="shared" si="73"/>
        <v>102088.93400000001</v>
      </c>
      <c r="G84" s="46">
        <f>G69+G73+G76+G77+G79+G80+G81+G82+G83+G75</f>
        <v>14825.063</v>
      </c>
      <c r="H84" s="46">
        <f>H69+H73+H76+H77+H79+H80+H81+H82+H83+H75+H72+H74</f>
        <v>17196.864999999998</v>
      </c>
      <c r="I84" s="46">
        <f>I69+I73+I76+I77+I79+I80+I81+I82+I83+I75+I72+I74</f>
        <v>12321.911</v>
      </c>
      <c r="J84" s="46">
        <f>J69+J73+J76+J77+J79+J80+J81+J82+J83+J75+J72+J74</f>
        <v>4324.71</v>
      </c>
      <c r="K84" s="46">
        <f>K69+K73+K76+K77+K79+K80+K81+K82+K83+K75+K72+K74</f>
        <v>12169.493999999999</v>
      </c>
      <c r="L84" s="46">
        <f>L69+L73+L76+L77+L79+L80+L81+L82+L83+L75+L72+L74</f>
        <v>41250.891000000003</v>
      </c>
      <c r="M84" s="46">
        <f>M69+M73+M76+M77+M79+M80+M81+M82+M83+M75</f>
        <v>71950.683999999994</v>
      </c>
      <c r="N84" s="83">
        <f t="shared" si="76"/>
        <v>30138.250000000015</v>
      </c>
      <c r="O84" s="84">
        <f>F84/M84*100</f>
        <v>141.88737107766761</v>
      </c>
      <c r="P84" s="83">
        <f>P69+P73+P76+P77+P79+P80+P81+P82+P83+P75</f>
        <v>85986.956000000006</v>
      </c>
      <c r="Q84" s="83">
        <f t="shared" si="78"/>
        <v>16101.978000000003</v>
      </c>
      <c r="R84" s="84">
        <f>F84/P84*100</f>
        <v>118.72607049841373</v>
      </c>
      <c r="S84" s="84">
        <f t="shared" si="83"/>
        <v>59.363035249206867</v>
      </c>
      <c r="T84" s="46">
        <f>T69+T73+T76+T77+T79+T80+T81+T82+T83+T75</f>
        <v>82808.633000000002</v>
      </c>
      <c r="U84" s="83">
        <f t="shared" si="80"/>
        <v>19280.301000000007</v>
      </c>
      <c r="V84" s="84">
        <f t="shared" si="87"/>
        <v>123.28296012325188</v>
      </c>
      <c r="AB84" s="84">
        <v>70.099999999999994</v>
      </c>
    </row>
    <row r="85" spans="1:28" s="63" customFormat="1" ht="22.5" hidden="1" x14ac:dyDescent="0.3">
      <c r="A85" s="62"/>
      <c r="B85" s="133"/>
      <c r="C85" s="52"/>
      <c r="D85" s="53"/>
      <c r="E85" s="53"/>
      <c r="F85" s="46"/>
      <c r="G85" s="53"/>
      <c r="H85" s="53"/>
      <c r="I85" s="53"/>
      <c r="J85" s="53"/>
      <c r="K85" s="53"/>
      <c r="L85" s="53"/>
      <c r="M85" s="53"/>
      <c r="N85" s="87"/>
      <c r="O85" s="88"/>
      <c r="P85" s="87"/>
      <c r="Q85" s="87"/>
      <c r="R85" s="88"/>
      <c r="S85" s="88"/>
      <c r="T85" s="46"/>
      <c r="U85" s="87"/>
      <c r="V85" s="88"/>
      <c r="AB85" s="88"/>
    </row>
    <row r="86" spans="1:28" s="27" customFormat="1" ht="126.75" customHeight="1" x14ac:dyDescent="0.25">
      <c r="A86" s="24">
        <v>1</v>
      </c>
      <c r="B86" s="57" t="s">
        <v>132</v>
      </c>
      <c r="C86" s="25" t="s">
        <v>70</v>
      </c>
      <c r="D86" s="120">
        <v>22916.2</v>
      </c>
      <c r="E86" s="120">
        <v>120420</v>
      </c>
      <c r="F86" s="180">
        <f t="shared" si="73"/>
        <v>0</v>
      </c>
      <c r="G86" s="120">
        <v>0</v>
      </c>
      <c r="H86" s="120">
        <v>0</v>
      </c>
      <c r="I86" s="120">
        <v>0</v>
      </c>
      <c r="J86" s="120">
        <v>0</v>
      </c>
      <c r="K86" s="120">
        <v>0</v>
      </c>
      <c r="L86" s="120">
        <v>0</v>
      </c>
      <c r="M86" s="120">
        <v>22916.2</v>
      </c>
      <c r="N86" s="114">
        <f>F86-M86</f>
        <v>-22916.2</v>
      </c>
      <c r="O86" s="123"/>
      <c r="P86" s="120">
        <f>D86</f>
        <v>22916.2</v>
      </c>
      <c r="Q86" s="114">
        <f>F86-P86</f>
        <v>-22916.2</v>
      </c>
      <c r="R86" s="123">
        <f>F86/P86*100</f>
        <v>0</v>
      </c>
      <c r="S86" s="123">
        <f t="shared" si="83"/>
        <v>0</v>
      </c>
      <c r="T86" s="180">
        <v>3858.3</v>
      </c>
      <c r="U86" s="114">
        <f>F86-T86</f>
        <v>-3858.3</v>
      </c>
      <c r="V86" s="115"/>
      <c r="AB86" s="115"/>
    </row>
    <row r="87" spans="1:28" s="35" customFormat="1" ht="22.5" x14ac:dyDescent="0.25">
      <c r="A87" s="34"/>
      <c r="B87" s="89"/>
      <c r="C87" s="26"/>
      <c r="D87" s="53"/>
      <c r="E87" s="53"/>
      <c r="F87" s="46"/>
      <c r="G87" s="53"/>
      <c r="H87" s="53"/>
      <c r="I87" s="53"/>
      <c r="J87" s="53"/>
      <c r="K87" s="53"/>
      <c r="L87" s="53"/>
      <c r="M87" s="53"/>
      <c r="N87" s="87"/>
      <c r="O87" s="88"/>
      <c r="P87" s="87"/>
      <c r="Q87" s="87"/>
      <c r="R87" s="88"/>
      <c r="S87" s="88"/>
      <c r="T87" s="46"/>
      <c r="U87" s="87"/>
      <c r="V87" s="88"/>
      <c r="AB87" s="88"/>
    </row>
    <row r="88" spans="1:28" s="54" customFormat="1" ht="37.5" customHeight="1" x14ac:dyDescent="0.3">
      <c r="A88" s="50"/>
      <c r="B88" s="55" t="s">
        <v>28</v>
      </c>
      <c r="C88" s="52"/>
      <c r="D88" s="53">
        <f>D89+D90</f>
        <v>22916.2</v>
      </c>
      <c r="E88" s="53">
        <f>E89+E90</f>
        <v>22916.2</v>
      </c>
      <c r="F88" s="46">
        <f t="shared" si="73"/>
        <v>0</v>
      </c>
      <c r="G88" s="53">
        <f t="shared" ref="G88:M88" si="92">G89+G90</f>
        <v>0</v>
      </c>
      <c r="H88" s="53">
        <f t="shared" si="92"/>
        <v>0</v>
      </c>
      <c r="I88" s="53">
        <f t="shared" si="92"/>
        <v>0</v>
      </c>
      <c r="J88" s="53">
        <f t="shared" si="92"/>
        <v>0</v>
      </c>
      <c r="K88" s="53">
        <f t="shared" ref="K88" si="93">K89+K90</f>
        <v>0</v>
      </c>
      <c r="L88" s="53">
        <f t="shared" si="92"/>
        <v>0</v>
      </c>
      <c r="M88" s="53">
        <f t="shared" si="92"/>
        <v>22916.2</v>
      </c>
      <c r="N88" s="87">
        <f>F88-M88</f>
        <v>-22916.2</v>
      </c>
      <c r="O88" s="88">
        <f>F88/M88*100</f>
        <v>0</v>
      </c>
      <c r="P88" s="53">
        <f>P89+P90</f>
        <v>22916.2</v>
      </c>
      <c r="Q88" s="87">
        <f>F88-P88</f>
        <v>-22916.2</v>
      </c>
      <c r="R88" s="88">
        <f>F88/P88*100</f>
        <v>0</v>
      </c>
      <c r="S88" s="88">
        <f t="shared" si="83"/>
        <v>0</v>
      </c>
      <c r="T88" s="46">
        <f>T89+T90</f>
        <v>3858.3</v>
      </c>
      <c r="U88" s="87">
        <f>F88-T88</f>
        <v>-3858.3</v>
      </c>
      <c r="V88" s="88"/>
      <c r="AB88" s="88"/>
    </row>
    <row r="89" spans="1:28" s="8" customFormat="1" ht="23.25" hidden="1" x14ac:dyDescent="0.25">
      <c r="A89" s="14"/>
      <c r="B89" s="17" t="s">
        <v>102</v>
      </c>
      <c r="C89" s="17"/>
      <c r="D89" s="121">
        <f>D86</f>
        <v>22916.2</v>
      </c>
      <c r="E89" s="121">
        <f>D89</f>
        <v>22916.2</v>
      </c>
      <c r="F89" s="179">
        <f t="shared" si="73"/>
        <v>0</v>
      </c>
      <c r="G89" s="121">
        <f t="shared" ref="G89:M89" si="94">G86</f>
        <v>0</v>
      </c>
      <c r="H89" s="121">
        <f t="shared" si="94"/>
        <v>0</v>
      </c>
      <c r="I89" s="121">
        <f t="shared" si="94"/>
        <v>0</v>
      </c>
      <c r="J89" s="121">
        <f t="shared" si="94"/>
        <v>0</v>
      </c>
      <c r="K89" s="121">
        <f t="shared" ref="K89" si="95">K86</f>
        <v>0</v>
      </c>
      <c r="L89" s="121">
        <f t="shared" si="94"/>
        <v>0</v>
      </c>
      <c r="M89" s="121">
        <f t="shared" si="94"/>
        <v>22916.2</v>
      </c>
      <c r="N89" s="118">
        <f>F89-M89</f>
        <v>-22916.2</v>
      </c>
      <c r="O89" s="119"/>
      <c r="P89" s="121">
        <f>P86</f>
        <v>22916.2</v>
      </c>
      <c r="Q89" s="118">
        <f>F89-P89</f>
        <v>-22916.2</v>
      </c>
      <c r="R89" s="119">
        <f>F89/P89*100</f>
        <v>0</v>
      </c>
      <c r="S89" s="119">
        <f t="shared" si="83"/>
        <v>0</v>
      </c>
      <c r="T89" s="179">
        <f>T86</f>
        <v>3858.3</v>
      </c>
      <c r="U89" s="118">
        <f>F89-T89</f>
        <v>-3858.3</v>
      </c>
      <c r="V89" s="119"/>
      <c r="AB89" s="119"/>
    </row>
    <row r="90" spans="1:28" s="8" customFormat="1" ht="23.25" hidden="1" x14ac:dyDescent="0.25">
      <c r="A90" s="14"/>
      <c r="B90" s="150" t="s">
        <v>101</v>
      </c>
      <c r="C90" s="17"/>
      <c r="D90" s="121">
        <v>0</v>
      </c>
      <c r="E90" s="121">
        <v>0</v>
      </c>
      <c r="F90" s="179">
        <f t="shared" si="73"/>
        <v>0</v>
      </c>
      <c r="G90" s="121">
        <v>0</v>
      </c>
      <c r="H90" s="121">
        <v>0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118">
        <f>F90-M90</f>
        <v>0</v>
      </c>
      <c r="O90" s="119"/>
      <c r="P90" s="121">
        <v>0</v>
      </c>
      <c r="Q90" s="118">
        <f>F90-P90</f>
        <v>0</v>
      </c>
      <c r="R90" s="119"/>
      <c r="S90" s="119"/>
      <c r="T90" s="179">
        <v>0</v>
      </c>
      <c r="U90" s="118">
        <f>F90-T90</f>
        <v>0</v>
      </c>
      <c r="V90" s="119"/>
      <c r="AB90" s="119"/>
    </row>
    <row r="91" spans="1:28" s="10" customFormat="1" ht="23.25" hidden="1" customHeight="1" x14ac:dyDescent="0.25">
      <c r="A91" s="24"/>
      <c r="B91" s="40"/>
      <c r="C91" s="25"/>
      <c r="D91" s="120"/>
      <c r="E91" s="120"/>
      <c r="F91" s="181"/>
      <c r="G91" s="124"/>
      <c r="H91" s="124"/>
      <c r="I91" s="124"/>
      <c r="J91" s="124"/>
      <c r="K91" s="124"/>
      <c r="L91" s="124"/>
      <c r="M91" s="120"/>
      <c r="N91" s="114"/>
      <c r="O91" s="115"/>
      <c r="P91" s="120"/>
      <c r="Q91" s="114"/>
      <c r="R91" s="115"/>
      <c r="S91" s="115" t="e">
        <f t="shared" si="83"/>
        <v>#DIV/0!</v>
      </c>
      <c r="T91" s="181"/>
      <c r="U91" s="114"/>
      <c r="V91" s="115"/>
      <c r="AB91" s="115"/>
    </row>
    <row r="92" spans="1:28" s="10" customFormat="1" ht="23.25" customHeight="1" x14ac:dyDescent="0.25">
      <c r="A92" s="24"/>
      <c r="B92" s="40"/>
      <c r="C92" s="25"/>
      <c r="D92" s="120"/>
      <c r="E92" s="120"/>
      <c r="F92" s="181"/>
      <c r="G92" s="124"/>
      <c r="H92" s="124"/>
      <c r="I92" s="124"/>
      <c r="J92" s="124"/>
      <c r="K92" s="124"/>
      <c r="L92" s="124"/>
      <c r="M92" s="120"/>
      <c r="N92" s="114"/>
      <c r="O92" s="115"/>
      <c r="P92" s="120"/>
      <c r="Q92" s="114"/>
      <c r="R92" s="115"/>
      <c r="S92" s="115"/>
      <c r="T92" s="181"/>
      <c r="U92" s="114"/>
      <c r="V92" s="115"/>
      <c r="AB92" s="115"/>
    </row>
    <row r="93" spans="1:28" s="142" customFormat="1" ht="44.25" customHeight="1" x14ac:dyDescent="0.3">
      <c r="A93" s="135"/>
      <c r="B93" s="136" t="s">
        <v>41</v>
      </c>
      <c r="C93" s="143"/>
      <c r="D93" s="138">
        <f>D84+D88</f>
        <v>194890.11200000002</v>
      </c>
      <c r="E93" s="138">
        <f>E84+E88</f>
        <v>194890.11200000002</v>
      </c>
      <c r="F93" s="138">
        <f t="shared" si="73"/>
        <v>102088.93400000001</v>
      </c>
      <c r="G93" s="138">
        <f t="shared" ref="G93:M93" si="96">G84+G88</f>
        <v>14825.063</v>
      </c>
      <c r="H93" s="138">
        <f t="shared" si="96"/>
        <v>17196.864999999998</v>
      </c>
      <c r="I93" s="138">
        <f t="shared" si="96"/>
        <v>12321.911</v>
      </c>
      <c r="J93" s="138">
        <f t="shared" si="96"/>
        <v>4324.71</v>
      </c>
      <c r="K93" s="138">
        <f t="shared" si="96"/>
        <v>12169.493999999999</v>
      </c>
      <c r="L93" s="138">
        <f t="shared" si="96"/>
        <v>41250.891000000003</v>
      </c>
      <c r="M93" s="138">
        <f t="shared" si="96"/>
        <v>94866.883999999991</v>
      </c>
      <c r="N93" s="139">
        <f>F93-M93</f>
        <v>7222.0500000000175</v>
      </c>
      <c r="O93" s="140">
        <f>F93/M93*100</f>
        <v>107.61282514560089</v>
      </c>
      <c r="P93" s="138">
        <f>P84+P88</f>
        <v>108903.156</v>
      </c>
      <c r="Q93" s="139">
        <f>F93-P93</f>
        <v>-6814.2219999999943</v>
      </c>
      <c r="R93" s="140">
        <f>F93/P93*100</f>
        <v>93.742860858871708</v>
      </c>
      <c r="S93" s="140">
        <f t="shared" si="83"/>
        <v>52.382818682971454</v>
      </c>
      <c r="T93" s="138">
        <f>T84+T88</f>
        <v>86666.933000000005</v>
      </c>
      <c r="U93" s="139">
        <f>F93-T93</f>
        <v>15422.001000000004</v>
      </c>
      <c r="V93" s="140">
        <f>F93/T93*100</f>
        <v>117.79456185440415</v>
      </c>
      <c r="W93" s="142">
        <v>86666.933000000005</v>
      </c>
      <c r="X93" s="141">
        <f>W93-T93</f>
        <v>0</v>
      </c>
      <c r="AB93" s="140"/>
    </row>
    <row r="94" spans="1:28" s="54" customFormat="1" ht="22.5" hidden="1" x14ac:dyDescent="0.3">
      <c r="A94" s="50"/>
      <c r="B94" s="51"/>
      <c r="C94" s="52"/>
      <c r="D94" s="53"/>
      <c r="E94" s="53"/>
      <c r="F94" s="46"/>
      <c r="G94" s="53"/>
      <c r="H94" s="53"/>
      <c r="I94" s="53"/>
      <c r="J94" s="53"/>
      <c r="K94" s="53"/>
      <c r="L94" s="53"/>
      <c r="M94" s="53"/>
      <c r="N94" s="87"/>
      <c r="O94" s="88"/>
      <c r="P94" s="53"/>
      <c r="Q94" s="87"/>
      <c r="R94" s="88"/>
      <c r="S94" s="88"/>
      <c r="T94" s="46"/>
      <c r="U94" s="87"/>
      <c r="V94" s="88"/>
      <c r="AB94" s="88"/>
    </row>
    <row r="95" spans="1:28" s="13" customFormat="1" ht="26.25" customHeight="1" x14ac:dyDescent="0.25">
      <c r="A95" s="201" t="s">
        <v>40</v>
      </c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</row>
    <row r="96" spans="1:28" s="170" customFormat="1" ht="37.5" customHeight="1" x14ac:dyDescent="0.3">
      <c r="A96" s="172"/>
      <c r="B96" s="166" t="s">
        <v>151</v>
      </c>
      <c r="C96" s="171"/>
      <c r="D96" s="167">
        <f>D46+D84</f>
        <v>4561433.8969999999</v>
      </c>
      <c r="E96" s="167">
        <f>E46+E84</f>
        <v>4561433.8969999999</v>
      </c>
      <c r="F96" s="138">
        <f t="shared" si="73"/>
        <v>2181411.1560000004</v>
      </c>
      <c r="G96" s="167">
        <f t="shared" ref="G96:M96" si="97">G46+G84</f>
        <v>318364.7900000001</v>
      </c>
      <c r="H96" s="167">
        <f t="shared" si="97"/>
        <v>399800.83700000006</v>
      </c>
      <c r="I96" s="167">
        <f t="shared" si="97"/>
        <v>311256.16200000001</v>
      </c>
      <c r="J96" s="167">
        <f t="shared" si="97"/>
        <v>330473.98300000001</v>
      </c>
      <c r="K96" s="167">
        <f t="shared" si="97"/>
        <v>396663.61</v>
      </c>
      <c r="L96" s="167">
        <f t="shared" si="97"/>
        <v>424851.77400000003</v>
      </c>
      <c r="M96" s="167">
        <f t="shared" si="97"/>
        <v>2083165.3389999997</v>
      </c>
      <c r="N96" s="168">
        <f>F96-M96</f>
        <v>98245.817000000738</v>
      </c>
      <c r="O96" s="169">
        <f>F96/M96*100</f>
        <v>104.71617951588819</v>
      </c>
      <c r="P96" s="167">
        <f>P46+P84</f>
        <v>2280716.9484999999</v>
      </c>
      <c r="Q96" s="168">
        <f>F96-P96</f>
        <v>-99305.792499999516</v>
      </c>
      <c r="R96" s="169">
        <f>F96/P96*100</f>
        <v>95.645851951715812</v>
      </c>
      <c r="S96" s="169">
        <f t="shared" ref="S96:S103" si="98">F96/E96*100</f>
        <v>47.822925975857906</v>
      </c>
      <c r="T96" s="138">
        <f>T46+T84</f>
        <v>1815728.7790000003</v>
      </c>
      <c r="U96" s="168">
        <f>F96-T96</f>
        <v>365682.37700000009</v>
      </c>
      <c r="V96" s="169">
        <f>F96/T96*100</f>
        <v>120.13970264883929</v>
      </c>
      <c r="AB96" s="169">
        <v>115</v>
      </c>
    </row>
    <row r="97" spans="1:28" s="32" customFormat="1" ht="22.5" customHeight="1" x14ac:dyDescent="0.3">
      <c r="A97" s="12"/>
      <c r="B97" s="16"/>
      <c r="C97" s="26"/>
      <c r="D97" s="53"/>
      <c r="E97" s="53"/>
      <c r="F97" s="46"/>
      <c r="G97" s="53"/>
      <c r="H97" s="53"/>
      <c r="I97" s="53"/>
      <c r="J97" s="53"/>
      <c r="K97" s="53"/>
      <c r="L97" s="53"/>
      <c r="M97" s="53"/>
      <c r="N97" s="87"/>
      <c r="O97" s="88"/>
      <c r="P97" s="53"/>
      <c r="Q97" s="87"/>
      <c r="R97" s="88"/>
      <c r="S97" s="88"/>
      <c r="T97" s="46"/>
      <c r="U97" s="87"/>
      <c r="V97" s="88"/>
      <c r="AB97" s="88"/>
    </row>
    <row r="98" spans="1:28" s="54" customFormat="1" ht="39.75" customHeight="1" x14ac:dyDescent="0.3">
      <c r="A98" s="50"/>
      <c r="B98" s="55" t="s">
        <v>28</v>
      </c>
      <c r="C98" s="52"/>
      <c r="D98" s="53">
        <f>D60+D88</f>
        <v>932227.53999999992</v>
      </c>
      <c r="E98" s="53">
        <f>E60+E88</f>
        <v>843333.03999999992</v>
      </c>
      <c r="F98" s="46">
        <f t="shared" si="73"/>
        <v>508206.23099999991</v>
      </c>
      <c r="G98" s="53">
        <f t="shared" ref="G98:M98" si="99">G60+G88</f>
        <v>69678.231999999989</v>
      </c>
      <c r="H98" s="53">
        <f t="shared" si="99"/>
        <v>69894.97</v>
      </c>
      <c r="I98" s="53">
        <f t="shared" si="99"/>
        <v>69828.259999999995</v>
      </c>
      <c r="J98" s="53">
        <f t="shared" si="99"/>
        <v>70661.349999999991</v>
      </c>
      <c r="K98" s="53">
        <f t="shared" si="99"/>
        <v>87818.024999999994</v>
      </c>
      <c r="L98" s="53">
        <f t="shared" si="99"/>
        <v>140325.394</v>
      </c>
      <c r="M98" s="53">
        <f t="shared" si="99"/>
        <v>531648.85600000003</v>
      </c>
      <c r="N98" s="87">
        <f>F98-M98</f>
        <v>-23442.625000000116</v>
      </c>
      <c r="O98" s="88">
        <f>F98/M98*100</f>
        <v>95.590581125975348</v>
      </c>
      <c r="P98" s="53">
        <f>P60+P88</f>
        <v>843333.03999999992</v>
      </c>
      <c r="Q98" s="87">
        <f>F98-P98</f>
        <v>-335126.80900000001</v>
      </c>
      <c r="R98" s="88">
        <f>F98/P98*100</f>
        <v>60.261629379539073</v>
      </c>
      <c r="S98" s="88">
        <f t="shared" si="98"/>
        <v>60.261629379539073</v>
      </c>
      <c r="T98" s="46">
        <f>T60+T88</f>
        <v>445052.52000000008</v>
      </c>
      <c r="U98" s="87">
        <f>F98-T98</f>
        <v>63153.710999999836</v>
      </c>
      <c r="V98" s="88">
        <f>F98/T98*100</f>
        <v>114.19017040955073</v>
      </c>
      <c r="AB98" s="88"/>
    </row>
    <row r="99" spans="1:28" s="54" customFormat="1" ht="29.25" hidden="1" customHeight="1" x14ac:dyDescent="0.3">
      <c r="A99" s="145"/>
      <c r="B99" s="55" t="s">
        <v>71</v>
      </c>
      <c r="C99" s="52"/>
      <c r="D99" s="53">
        <f t="shared" ref="D99:E99" si="100">D100+D101</f>
        <v>903227.53999999992</v>
      </c>
      <c r="E99" s="53">
        <f t="shared" si="100"/>
        <v>814333.03999999992</v>
      </c>
      <c r="F99" s="46">
        <f t="shared" si="73"/>
        <v>493706.03099999996</v>
      </c>
      <c r="G99" s="53">
        <f t="shared" ref="G99:M99" si="101">G100+G101</f>
        <v>67261.531999999992</v>
      </c>
      <c r="H99" s="53">
        <f t="shared" ref="H99:L99" si="102">H100+H101</f>
        <v>67478.27</v>
      </c>
      <c r="I99" s="53">
        <f t="shared" ref="I99:K99" si="103">I100+I101</f>
        <v>67411.56</v>
      </c>
      <c r="J99" s="53">
        <f t="shared" si="103"/>
        <v>68244.649999999994</v>
      </c>
      <c r="K99" s="53">
        <f t="shared" si="103"/>
        <v>85401.324999999997</v>
      </c>
      <c r="L99" s="53">
        <f t="shared" si="102"/>
        <v>137908.69399999999</v>
      </c>
      <c r="M99" s="53">
        <f t="shared" si="101"/>
        <v>517148.65599999996</v>
      </c>
      <c r="N99" s="87">
        <f>F99-M99</f>
        <v>-23442.625</v>
      </c>
      <c r="O99" s="88">
        <f>F99/M99*100</f>
        <v>95.466946548537493</v>
      </c>
      <c r="P99" s="53">
        <f t="shared" ref="P99" si="104">P100+P101</f>
        <v>814333.03999999992</v>
      </c>
      <c r="Q99" s="87">
        <f>F99-P99</f>
        <v>-320627.00899999996</v>
      </c>
      <c r="R99" s="88">
        <f>F99/P99*100</f>
        <v>60.627041609413268</v>
      </c>
      <c r="S99" s="88">
        <f t="shared" si="98"/>
        <v>60.627041609413268</v>
      </c>
      <c r="T99" s="46">
        <f t="shared" ref="T99" si="105">T100+T101</f>
        <v>445052.52000000008</v>
      </c>
      <c r="U99" s="87">
        <f>F99-T99</f>
        <v>48653.510999999882</v>
      </c>
      <c r="V99" s="88">
        <f>F99/T99*100</f>
        <v>110.93208302696497</v>
      </c>
      <c r="AB99" s="88"/>
    </row>
    <row r="100" spans="1:28" s="148" customFormat="1" ht="32.25" hidden="1" customHeight="1" x14ac:dyDescent="0.35">
      <c r="A100" s="146"/>
      <c r="B100" s="147" t="s">
        <v>102</v>
      </c>
      <c r="C100" s="147"/>
      <c r="D100" s="121">
        <f>D64+D89</f>
        <v>878600.29999999993</v>
      </c>
      <c r="E100" s="121">
        <f>E64+E89</f>
        <v>793031.89999999991</v>
      </c>
      <c r="F100" s="179">
        <f t="shared" si="73"/>
        <v>481876.6</v>
      </c>
      <c r="G100" s="121">
        <f t="shared" ref="G100:M100" si="106">G64+G89</f>
        <v>65887.7</v>
      </c>
      <c r="H100" s="121">
        <f t="shared" si="106"/>
        <v>65887.7</v>
      </c>
      <c r="I100" s="121">
        <f t="shared" si="106"/>
        <v>65887.7</v>
      </c>
      <c r="J100" s="121">
        <f t="shared" si="106"/>
        <v>65887.7</v>
      </c>
      <c r="K100" s="121">
        <f t="shared" si="106"/>
        <v>83001.399999999994</v>
      </c>
      <c r="L100" s="121">
        <f t="shared" si="106"/>
        <v>135324.4</v>
      </c>
      <c r="M100" s="121">
        <f t="shared" si="106"/>
        <v>504792.8</v>
      </c>
      <c r="N100" s="118">
        <f>F100-M100</f>
        <v>-22916.200000000012</v>
      </c>
      <c r="O100" s="119">
        <f>F100/M100*100</f>
        <v>95.460275978579716</v>
      </c>
      <c r="P100" s="121">
        <f>P64+P89</f>
        <v>793031.89999999991</v>
      </c>
      <c r="Q100" s="118">
        <f>F100-P100</f>
        <v>-311155.29999999993</v>
      </c>
      <c r="R100" s="119">
        <f>F100/P100*100</f>
        <v>60.763835603586692</v>
      </c>
      <c r="S100" s="119">
        <f t="shared" si="98"/>
        <v>60.763835603586692</v>
      </c>
      <c r="T100" s="179">
        <f>T64+T89</f>
        <v>424397.00000000006</v>
      </c>
      <c r="U100" s="118">
        <f>F100-T100</f>
        <v>57479.599999999919</v>
      </c>
      <c r="V100" s="119">
        <f>F100/T100*100</f>
        <v>113.54382806664512</v>
      </c>
      <c r="AB100" s="119"/>
    </row>
    <row r="101" spans="1:28" s="148" customFormat="1" ht="32.25" hidden="1" customHeight="1" x14ac:dyDescent="0.35">
      <c r="A101" s="146"/>
      <c r="B101" s="147" t="s">
        <v>101</v>
      </c>
      <c r="C101" s="147"/>
      <c r="D101" s="121">
        <f>D90+D65</f>
        <v>24627.24</v>
      </c>
      <c r="E101" s="121">
        <f>E90+E65</f>
        <v>21301.14</v>
      </c>
      <c r="F101" s="179">
        <f t="shared" si="73"/>
        <v>11829.430999999999</v>
      </c>
      <c r="G101" s="121">
        <f t="shared" ref="G101:M101" si="107">G90+G65</f>
        <v>1373.8319999999999</v>
      </c>
      <c r="H101" s="121">
        <f t="shared" si="107"/>
        <v>1590.57</v>
      </c>
      <c r="I101" s="121">
        <f t="shared" si="107"/>
        <v>1523.86</v>
      </c>
      <c r="J101" s="121">
        <f t="shared" si="107"/>
        <v>2356.9499999999998</v>
      </c>
      <c r="K101" s="121">
        <f t="shared" si="107"/>
        <v>2399.9250000000002</v>
      </c>
      <c r="L101" s="121">
        <f t="shared" si="107"/>
        <v>2584.2940000000003</v>
      </c>
      <c r="M101" s="121">
        <f t="shared" si="107"/>
        <v>12355.856</v>
      </c>
      <c r="N101" s="118">
        <f>F101-M101</f>
        <v>-526.42500000000109</v>
      </c>
      <c r="O101" s="119">
        <f>F101/M101*100</f>
        <v>95.739469608580734</v>
      </c>
      <c r="P101" s="121">
        <f>P90+P65</f>
        <v>21301.14</v>
      </c>
      <c r="Q101" s="118">
        <f>F101-P101</f>
        <v>-9471.7090000000007</v>
      </c>
      <c r="R101" s="119">
        <f>F101/P101*100</f>
        <v>55.534262485481989</v>
      </c>
      <c r="S101" s="119">
        <f t="shared" si="98"/>
        <v>55.534262485481989</v>
      </c>
      <c r="T101" s="179">
        <f>T90+T65</f>
        <v>20655.52</v>
      </c>
      <c r="U101" s="118">
        <f>F101-T101</f>
        <v>-8826.0890000000018</v>
      </c>
      <c r="V101" s="119">
        <f>F101/T101*100</f>
        <v>57.270071148051457</v>
      </c>
      <c r="AB101" s="119"/>
    </row>
    <row r="102" spans="1:28" s="8" customFormat="1" ht="23.25" x14ac:dyDescent="0.25">
      <c r="A102" s="28"/>
      <c r="B102" s="44"/>
      <c r="C102" s="17"/>
      <c r="D102" s="121"/>
      <c r="E102" s="121"/>
      <c r="F102" s="179"/>
      <c r="G102" s="121"/>
      <c r="H102" s="121"/>
      <c r="I102" s="121"/>
      <c r="J102" s="121"/>
      <c r="K102" s="121"/>
      <c r="L102" s="121"/>
      <c r="M102" s="121"/>
      <c r="N102" s="118"/>
      <c r="O102" s="119"/>
      <c r="P102" s="121"/>
      <c r="Q102" s="118"/>
      <c r="R102" s="119"/>
      <c r="S102" s="119"/>
      <c r="T102" s="179"/>
      <c r="U102" s="118"/>
      <c r="V102" s="119"/>
      <c r="AB102" s="119"/>
    </row>
    <row r="103" spans="1:28" s="142" customFormat="1" ht="48.75" customHeight="1" x14ac:dyDescent="0.3">
      <c r="A103" s="144"/>
      <c r="B103" s="136" t="s">
        <v>141</v>
      </c>
      <c r="C103" s="143"/>
      <c r="D103" s="138">
        <f>D96+D98</f>
        <v>5493661.4369999999</v>
      </c>
      <c r="E103" s="138">
        <f>E96+E98</f>
        <v>5404766.9369999999</v>
      </c>
      <c r="F103" s="138">
        <f t="shared" si="73"/>
        <v>2689617.3870000006</v>
      </c>
      <c r="G103" s="138">
        <f t="shared" ref="G103:M103" si="108">G96+G98</f>
        <v>388043.02200000011</v>
      </c>
      <c r="H103" s="138">
        <f t="shared" si="108"/>
        <v>469695.80700000003</v>
      </c>
      <c r="I103" s="138">
        <f t="shared" si="108"/>
        <v>381084.42200000002</v>
      </c>
      <c r="J103" s="138">
        <f t="shared" si="108"/>
        <v>401135.33299999998</v>
      </c>
      <c r="K103" s="138">
        <f t="shared" si="108"/>
        <v>484481.63500000001</v>
      </c>
      <c r="L103" s="138">
        <f t="shared" si="108"/>
        <v>565177.16800000006</v>
      </c>
      <c r="M103" s="138">
        <f t="shared" si="108"/>
        <v>2614814.1949999998</v>
      </c>
      <c r="N103" s="139">
        <f>F103-M103</f>
        <v>74803.192000000738</v>
      </c>
      <c r="O103" s="140">
        <f>F103/M103*100</f>
        <v>102.86074598122643</v>
      </c>
      <c r="P103" s="138">
        <f>P93+P67</f>
        <v>3124049.9885</v>
      </c>
      <c r="Q103" s="139">
        <f>F103-P103</f>
        <v>-434432.60149999941</v>
      </c>
      <c r="R103" s="140">
        <f>F103/P103*100</f>
        <v>86.093929255319296</v>
      </c>
      <c r="S103" s="140">
        <f t="shared" si="98"/>
        <v>49.763799593048027</v>
      </c>
      <c r="T103" s="138">
        <f>T96+T98</f>
        <v>2260781.2990000006</v>
      </c>
      <c r="U103" s="139">
        <f>F103-T103</f>
        <v>428836.08799999999</v>
      </c>
      <c r="V103" s="140">
        <f>F103/T103*100</f>
        <v>118.96849059171201</v>
      </c>
      <c r="W103" s="138">
        <v>2260781.2990000001</v>
      </c>
      <c r="X103" s="138">
        <f>W103-T103</f>
        <v>0</v>
      </c>
      <c r="AB103" s="140"/>
    </row>
    <row r="104" spans="1:28" s="54" customFormat="1" ht="22.5" hidden="1" customHeight="1" x14ac:dyDescent="0.3">
      <c r="A104" s="56"/>
      <c r="B104" s="51"/>
      <c r="C104" s="52"/>
      <c r="D104" s="152"/>
      <c r="E104" s="152"/>
      <c r="F104" s="182"/>
      <c r="G104" s="152"/>
      <c r="H104" s="152"/>
      <c r="I104" s="152"/>
      <c r="J104" s="152"/>
      <c r="K104" s="152"/>
      <c r="L104" s="152"/>
      <c r="M104" s="152"/>
      <c r="N104" s="87"/>
      <c r="O104" s="88"/>
      <c r="P104" s="53"/>
      <c r="Q104" s="87"/>
      <c r="R104" s="88"/>
      <c r="S104" s="88"/>
      <c r="T104" s="182"/>
      <c r="U104" s="87"/>
      <c r="V104" s="88"/>
      <c r="AB104" s="88"/>
    </row>
    <row r="105" spans="1:28" s="15" customFormat="1" ht="3.75" customHeight="1" x14ac:dyDescent="0.3">
      <c r="A105" s="36"/>
      <c r="B105" s="37"/>
      <c r="C105" s="38"/>
      <c r="D105" s="38"/>
      <c r="E105" s="39"/>
      <c r="F105" s="183"/>
      <c r="G105" s="39"/>
      <c r="H105" s="39"/>
      <c r="I105" s="39"/>
      <c r="J105" s="39"/>
      <c r="K105" s="39"/>
      <c r="L105" s="39"/>
      <c r="M105" s="39"/>
      <c r="N105" s="90"/>
      <c r="O105" s="91"/>
      <c r="P105" s="39"/>
      <c r="Q105" s="90"/>
      <c r="R105" s="91"/>
      <c r="S105" s="91"/>
      <c r="T105" s="183"/>
      <c r="U105" s="90"/>
      <c r="V105" s="91"/>
    </row>
    <row r="106" spans="1:28" s="15" customFormat="1" ht="81" customHeight="1" x14ac:dyDescent="0.4">
      <c r="A106" s="36"/>
      <c r="B106" s="22" t="s">
        <v>91</v>
      </c>
      <c r="C106" s="22"/>
      <c r="D106" s="22"/>
      <c r="E106" s="22"/>
      <c r="F106" s="184" t="s">
        <v>92</v>
      </c>
      <c r="G106" s="22"/>
      <c r="H106" s="22"/>
      <c r="I106" s="22"/>
      <c r="J106" s="22"/>
      <c r="K106" s="22"/>
      <c r="L106" s="22"/>
      <c r="M106" s="39"/>
      <c r="N106" s="90"/>
      <c r="O106" s="91"/>
      <c r="P106" s="39"/>
      <c r="Q106" s="90"/>
      <c r="R106" s="91"/>
      <c r="S106" s="91"/>
      <c r="T106" s="184"/>
      <c r="U106" s="90"/>
      <c r="V106" s="91"/>
    </row>
    <row r="107" spans="1:28" s="8" customFormat="1" ht="18" customHeight="1" x14ac:dyDescent="0.45">
      <c r="A107" s="6"/>
      <c r="B107" s="31" t="s">
        <v>51</v>
      </c>
      <c r="C107" s="19"/>
      <c r="D107" s="19"/>
      <c r="E107" s="19"/>
      <c r="F107" s="185"/>
      <c r="G107" s="21"/>
      <c r="H107" s="21"/>
      <c r="I107" s="21"/>
      <c r="J107" s="21"/>
      <c r="K107" s="21"/>
      <c r="L107" s="21"/>
      <c r="M107" s="7"/>
      <c r="N107" s="92"/>
      <c r="O107" s="93"/>
      <c r="P107" s="7"/>
      <c r="Q107" s="92"/>
      <c r="R107" s="93"/>
      <c r="S107" s="93"/>
      <c r="T107" s="185"/>
      <c r="U107" s="92"/>
      <c r="V107" s="93"/>
    </row>
    <row r="108" spans="1:28" s="8" customFormat="1" ht="30.75" x14ac:dyDescent="0.45">
      <c r="A108" s="6"/>
      <c r="B108" s="19"/>
      <c r="C108" s="19"/>
      <c r="D108" s="19"/>
      <c r="E108" s="125"/>
      <c r="F108" s="185"/>
      <c r="G108" s="21"/>
      <c r="H108" s="21"/>
      <c r="I108" s="21"/>
      <c r="J108" s="21"/>
      <c r="K108" s="21"/>
      <c r="L108" s="21"/>
      <c r="M108" s="7"/>
      <c r="N108" s="92"/>
      <c r="O108" s="93"/>
      <c r="P108" s="7"/>
      <c r="Q108" s="92"/>
      <c r="R108" s="93"/>
      <c r="S108" s="93"/>
      <c r="T108" s="185"/>
      <c r="U108" s="92"/>
      <c r="V108" s="93"/>
    </row>
    <row r="109" spans="1:28" s="4" customFormat="1" ht="30.75" x14ac:dyDescent="0.45">
      <c r="A109" s="29"/>
      <c r="B109" s="19"/>
      <c r="C109" s="19"/>
      <c r="D109" s="108">
        <v>5493661.4369999999</v>
      </c>
      <c r="E109" s="108">
        <v>5404766.9369999999</v>
      </c>
      <c r="F109" s="186">
        <v>2689617.3870000001</v>
      </c>
      <c r="G109" s="108">
        <v>388043.022</v>
      </c>
      <c r="H109" s="108">
        <v>469695.80800000002</v>
      </c>
      <c r="I109" s="108">
        <v>381084.42200000002</v>
      </c>
      <c r="J109" s="108">
        <v>401135.33299999998</v>
      </c>
      <c r="K109" s="108"/>
      <c r="L109" s="108">
        <v>484481.63500000001</v>
      </c>
      <c r="M109" s="108">
        <v>2614814.1949999998</v>
      </c>
      <c r="N109" s="5"/>
      <c r="O109" s="5"/>
      <c r="P109" s="22"/>
      <c r="Q109" s="5"/>
      <c r="R109" s="5"/>
      <c r="S109" s="5"/>
      <c r="T109" s="186"/>
      <c r="U109" s="5"/>
    </row>
    <row r="110" spans="1:28" ht="12" customHeight="1" x14ac:dyDescent="0.45">
      <c r="B110" s="31"/>
      <c r="C110" s="21"/>
      <c r="D110" s="21"/>
      <c r="E110" s="21"/>
      <c r="F110" s="185"/>
      <c r="G110" s="21"/>
      <c r="H110" s="21"/>
      <c r="I110" s="21"/>
      <c r="J110" s="21"/>
      <c r="K110" s="21"/>
      <c r="L110" s="21"/>
      <c r="T110" s="185"/>
    </row>
    <row r="111" spans="1:28" s="2" customFormat="1" ht="30.75" hidden="1" customHeight="1" x14ac:dyDescent="0.45">
      <c r="A111" s="30"/>
      <c r="B111" s="19"/>
      <c r="C111" s="19"/>
      <c r="D111" s="19"/>
      <c r="E111" s="19"/>
      <c r="F111" s="185"/>
      <c r="G111" s="21"/>
      <c r="H111" s="21"/>
      <c r="I111" s="21"/>
      <c r="J111" s="21"/>
      <c r="K111" s="21"/>
      <c r="L111" s="21"/>
      <c r="N111" s="163"/>
      <c r="O111" s="163"/>
      <c r="P111" s="163"/>
      <c r="Q111" s="163"/>
      <c r="R111" s="163"/>
      <c r="S111" s="163"/>
      <c r="T111" s="185"/>
      <c r="U111" s="163"/>
    </row>
    <row r="112" spans="1:28" s="2" customFormat="1" ht="30.75" hidden="1" customHeight="1" x14ac:dyDescent="0.45">
      <c r="A112" s="30"/>
      <c r="B112" s="19"/>
      <c r="C112" s="19"/>
      <c r="D112" s="19"/>
      <c r="E112" s="19"/>
      <c r="F112" s="185"/>
      <c r="G112" s="21"/>
      <c r="H112" s="21"/>
      <c r="I112" s="21"/>
      <c r="J112" s="21"/>
      <c r="K112" s="21"/>
      <c r="L112" s="21"/>
      <c r="N112" s="163"/>
      <c r="O112" s="163"/>
      <c r="P112" s="163"/>
      <c r="Q112" s="163"/>
      <c r="R112" s="163"/>
      <c r="S112" s="163"/>
      <c r="T112" s="185"/>
      <c r="U112" s="163"/>
    </row>
    <row r="113" spans="1:47" s="2" customFormat="1" ht="16.5" customHeight="1" x14ac:dyDescent="0.45">
      <c r="A113" s="30"/>
      <c r="B113" s="31"/>
      <c r="C113" s="21"/>
      <c r="D113" s="21"/>
      <c r="E113" s="21"/>
      <c r="F113" s="185"/>
      <c r="G113" s="21"/>
      <c r="H113" s="21"/>
      <c r="I113" s="21"/>
      <c r="J113" s="21"/>
      <c r="K113" s="21"/>
      <c r="L113" s="21"/>
      <c r="N113" s="163"/>
      <c r="O113" s="163"/>
      <c r="P113" s="163"/>
      <c r="Q113" s="163"/>
      <c r="R113" s="163"/>
      <c r="S113" s="163"/>
      <c r="T113" s="185"/>
      <c r="U113" s="163"/>
    </row>
    <row r="114" spans="1:47" ht="18.75" x14ac:dyDescent="0.3">
      <c r="B114" s="29"/>
      <c r="D114" s="108">
        <f t="shared" ref="D114:J114" si="109">D109-D103</f>
        <v>0</v>
      </c>
      <c r="E114" s="108">
        <f t="shared" si="109"/>
        <v>0</v>
      </c>
      <c r="F114" s="186">
        <f t="shared" si="109"/>
        <v>0</v>
      </c>
      <c r="G114" s="108">
        <f t="shared" si="109"/>
        <v>0</v>
      </c>
      <c r="H114" s="108">
        <f t="shared" si="109"/>
        <v>9.9999998928979039E-4</v>
      </c>
      <c r="I114" s="108">
        <f t="shared" si="109"/>
        <v>0</v>
      </c>
      <c r="J114" s="108">
        <f t="shared" si="109"/>
        <v>0</v>
      </c>
      <c r="K114" s="108"/>
      <c r="L114" s="108">
        <f>L109-L103</f>
        <v>-80695.533000000054</v>
      </c>
      <c r="M114" s="108">
        <f>M109-M103</f>
        <v>0</v>
      </c>
      <c r="N114" s="196" t="s">
        <v>48</v>
      </c>
      <c r="O114" s="196"/>
      <c r="P114" s="95">
        <f>D46/12*6</f>
        <v>2194729.9924999997</v>
      </c>
      <c r="T114" s="186"/>
    </row>
    <row r="115" spans="1:47" ht="18.75" x14ac:dyDescent="0.3">
      <c r="B115" s="29"/>
      <c r="M115" s="110"/>
      <c r="N115" s="163"/>
      <c r="O115" s="163"/>
      <c r="P115" s="95">
        <f>P114-P46</f>
        <v>0</v>
      </c>
    </row>
    <row r="116" spans="1:47" ht="18.75" x14ac:dyDescent="0.3">
      <c r="B116" s="4"/>
      <c r="C116" s="3"/>
      <c r="D116" s="3"/>
      <c r="E116" s="109"/>
      <c r="F116" s="188"/>
      <c r="N116" s="196" t="s">
        <v>49</v>
      </c>
      <c r="O116" s="196"/>
      <c r="P116" s="94">
        <f>D84/12*6</f>
        <v>85986.956000000006</v>
      </c>
      <c r="T116" s="188"/>
    </row>
    <row r="117" spans="1:47" ht="18.75" x14ac:dyDescent="0.3">
      <c r="B117" s="4"/>
      <c r="C117" s="3"/>
      <c r="D117" s="3"/>
      <c r="E117" s="3"/>
      <c r="N117" s="163"/>
      <c r="O117" s="163"/>
      <c r="P117" s="95">
        <f>P116-P84</f>
        <v>0</v>
      </c>
    </row>
    <row r="118" spans="1:47" ht="22.5" x14ac:dyDescent="0.3">
      <c r="B118" s="4"/>
      <c r="C118" s="3"/>
      <c r="D118" s="3"/>
      <c r="E118" s="126"/>
      <c r="F118" s="189"/>
      <c r="N118" s="196" t="s">
        <v>50</v>
      </c>
      <c r="O118" s="196"/>
      <c r="P118" s="95">
        <f>P116+P88</f>
        <v>108903.156</v>
      </c>
      <c r="T118" s="189"/>
    </row>
    <row r="119" spans="1:47" ht="18.75" x14ac:dyDescent="0.3">
      <c r="B119" s="4"/>
      <c r="C119" s="3"/>
      <c r="D119" s="3"/>
      <c r="E119" s="3"/>
      <c r="N119" s="163"/>
      <c r="O119" s="163"/>
      <c r="P119" s="95">
        <f>P118-P93</f>
        <v>0</v>
      </c>
    </row>
    <row r="120" spans="1:47" ht="18.75" x14ac:dyDescent="0.3">
      <c r="B120" s="4"/>
      <c r="C120" s="3"/>
      <c r="D120" s="3"/>
      <c r="E120" s="3"/>
    </row>
    <row r="121" spans="1:47" ht="18.75" x14ac:dyDescent="0.3">
      <c r="B121" s="127"/>
      <c r="C121" s="3"/>
      <c r="D121" s="3"/>
      <c r="E121" s="3"/>
    </row>
    <row r="122" spans="1:47" ht="18.75" x14ac:dyDescent="0.3">
      <c r="B122" s="4"/>
      <c r="C122" s="3"/>
      <c r="D122" s="3"/>
      <c r="E122" s="3"/>
    </row>
    <row r="123" spans="1:47" s="20" customFormat="1" ht="18.75" x14ac:dyDescent="0.3">
      <c r="B123" s="4"/>
      <c r="C123" s="3"/>
      <c r="D123" s="3"/>
      <c r="E123" s="3"/>
      <c r="F123" s="187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87"/>
      <c r="U123" s="1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s="20" customFormat="1" ht="18.75" x14ac:dyDescent="0.3">
      <c r="B124" s="4"/>
      <c r="C124" s="3"/>
      <c r="D124" s="3"/>
      <c r="E124" s="109"/>
      <c r="F124" s="188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88"/>
      <c r="U124" s="1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s="20" customFormat="1" ht="18.75" x14ac:dyDescent="0.3">
      <c r="B125" s="4"/>
      <c r="C125" s="3"/>
      <c r="D125" s="173"/>
      <c r="E125" s="3"/>
      <c r="F125" s="187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87"/>
      <c r="U125" s="1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s="20" customFormat="1" ht="18.75" x14ac:dyDescent="0.3">
      <c r="B126" s="4"/>
      <c r="C126" s="3"/>
      <c r="D126" s="3"/>
      <c r="E126" s="3"/>
      <c r="F126" s="187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87"/>
      <c r="U126" s="1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s="20" customFormat="1" ht="22.5" x14ac:dyDescent="0.3">
      <c r="B127" s="4"/>
      <c r="C127" s="3"/>
      <c r="D127" s="126"/>
      <c r="E127" s="3"/>
      <c r="F127" s="187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87"/>
      <c r="U127" s="1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s="20" customFormat="1" ht="18.75" x14ac:dyDescent="0.3">
      <c r="B128" s="4"/>
      <c r="C128" s="3"/>
      <c r="D128" s="3"/>
      <c r="E128" s="3"/>
      <c r="F128" s="188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88"/>
      <c r="U128" s="1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2:47" s="20" customFormat="1" ht="18.75" x14ac:dyDescent="0.3">
      <c r="B129" s="4"/>
      <c r="C129" s="3"/>
      <c r="D129" s="3"/>
      <c r="E129" s="3"/>
      <c r="F129" s="187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87"/>
      <c r="U129" s="1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2:47" s="20" customFormat="1" ht="18.75" x14ac:dyDescent="0.3">
      <c r="B130" s="4"/>
      <c r="C130" s="3"/>
      <c r="D130" s="3"/>
      <c r="E130" s="3"/>
      <c r="F130" s="187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87"/>
      <c r="U130" s="1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2:47" s="20" customFormat="1" ht="18.75" x14ac:dyDescent="0.3">
      <c r="B131" s="29"/>
      <c r="F131" s="187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87"/>
      <c r="U131" s="1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2:47" s="20" customFormat="1" ht="18.75" x14ac:dyDescent="0.3">
      <c r="B132" s="29"/>
      <c r="F132" s="187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87"/>
      <c r="U132" s="1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</sheetData>
  <mergeCells count="32">
    <mergeCell ref="N116:O116"/>
    <mergeCell ref="N118:O118"/>
    <mergeCell ref="A1:V1"/>
    <mergeCell ref="A6:V6"/>
    <mergeCell ref="A68:V68"/>
    <mergeCell ref="A95:V95"/>
    <mergeCell ref="G3:G4"/>
    <mergeCell ref="B3:B4"/>
    <mergeCell ref="C3:C4"/>
    <mergeCell ref="D3:D4"/>
    <mergeCell ref="E3:E4"/>
    <mergeCell ref="F3:F4"/>
    <mergeCell ref="A3:A4"/>
    <mergeCell ref="H3:H4"/>
    <mergeCell ref="V3:V4"/>
    <mergeCell ref="M3:M4"/>
    <mergeCell ref="C20:C22"/>
    <mergeCell ref="N114:O114"/>
    <mergeCell ref="I3:I4"/>
    <mergeCell ref="S3:S4"/>
    <mergeCell ref="T3:T4"/>
    <mergeCell ref="P3:P4"/>
    <mergeCell ref="Q3:Q4"/>
    <mergeCell ref="R3:R4"/>
    <mergeCell ref="N3:N4"/>
    <mergeCell ref="O3:O4"/>
    <mergeCell ref="K3:K4"/>
    <mergeCell ref="AB3:AB4"/>
    <mergeCell ref="AB47:AB67"/>
    <mergeCell ref="U3:U4"/>
    <mergeCell ref="L3:L4"/>
    <mergeCell ref="J3:J4"/>
  </mergeCells>
  <printOptions horizontalCentered="1"/>
  <pageMargins left="0.39370078740157483" right="0" top="0" bottom="0" header="0.23622047244094491" footer="0.11811023622047245"/>
  <pageSetup paperSize="9" scale="45" fitToHeight="6" orientation="landscape" horizontalDpi="300" verticalDpi="300" r:id="rId1"/>
  <headerFooter alignWithMargins="0"/>
  <rowBreaks count="1" manualBreakCount="1">
    <brk id="67" max="2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2022-07-22T09:02:19Z</cp:lastPrinted>
  <dcterms:created xsi:type="dcterms:W3CDTF">1996-10-08T23:32:33Z</dcterms:created>
  <dcterms:modified xsi:type="dcterms:W3CDTF">2022-08-08T09:41:18Z</dcterms:modified>
</cp:coreProperties>
</file>